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codeName="DieseArbeitsmappe" autoCompressPictures="0"/>
  <bookViews>
    <workbookView xWindow="33780" yWindow="980" windowWidth="28800" windowHeight="16260"/>
  </bookViews>
  <sheets>
    <sheet name="Tabelle1" sheetId="1" r:id="rId1"/>
    <sheet name="Tabelle2" sheetId="2" r:id="rId2"/>
    <sheet name="Tabelle3" sheetId="3" r:id="rId3"/>
  </sheets>
  <definedNames>
    <definedName name="_xlnm.Print_Area" localSheetId="0">Tabelle1!$A$1:$AG$71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13" i="1" l="1"/>
  <c r="AF13" i="1"/>
  <c r="Q30" i="1"/>
  <c r="M13" i="1"/>
  <c r="T15" i="1"/>
  <c r="Q15" i="1"/>
  <c r="Q24" i="1"/>
  <c r="G24" i="1"/>
  <c r="Q23" i="1"/>
  <c r="G23" i="1"/>
  <c r="L26" i="1"/>
  <c r="Q26" i="1"/>
  <c r="L23" i="1"/>
  <c r="I15" i="1"/>
  <c r="H15" i="1"/>
  <c r="G26" i="1"/>
  <c r="L24" i="1"/>
  <c r="C62" i="1"/>
  <c r="E9" i="2"/>
  <c r="B3" i="2"/>
  <c r="B4" i="2"/>
  <c r="B5" i="2"/>
  <c r="G30" i="1"/>
  <c r="Q25" i="1"/>
  <c r="G25" i="1"/>
  <c r="L30" i="1"/>
  <c r="Y13" i="1"/>
  <c r="AC15" i="1"/>
  <c r="AE15" i="1"/>
  <c r="AC18" i="1"/>
  <c r="X18" i="1"/>
  <c r="X19" i="1"/>
  <c r="AA18" i="1"/>
  <c r="Q27" i="1"/>
  <c r="D61" i="1"/>
  <c r="L25" i="1"/>
  <c r="Q28" i="1"/>
  <c r="Q32" i="1"/>
  <c r="G27" i="1"/>
  <c r="L27" i="1"/>
  <c r="L28" i="1"/>
  <c r="G28" i="1"/>
  <c r="G32" i="1"/>
  <c r="I61" i="1"/>
  <c r="K61" i="1"/>
  <c r="M61" i="1"/>
  <c r="O61" i="1"/>
  <c r="Q61" i="1"/>
  <c r="S61" i="1"/>
  <c r="U61" i="1"/>
  <c r="W61" i="1"/>
  <c r="Y61" i="1"/>
  <c r="AA61" i="1"/>
  <c r="F61" i="1"/>
  <c r="H61" i="1"/>
  <c r="J61" i="1"/>
  <c r="L61" i="1"/>
  <c r="N61" i="1"/>
  <c r="P61" i="1"/>
  <c r="R61" i="1"/>
  <c r="T61" i="1"/>
  <c r="V61" i="1"/>
  <c r="X61" i="1"/>
  <c r="Z61" i="1"/>
  <c r="G61" i="1"/>
  <c r="E61" i="1"/>
  <c r="L21" i="1"/>
  <c r="C63" i="1"/>
  <c r="L32" i="1"/>
  <c r="F62" i="1"/>
  <c r="D62" i="1"/>
  <c r="E62" i="1"/>
  <c r="O62" i="1"/>
  <c r="T62" i="1"/>
  <c r="W62" i="1"/>
  <c r="G62" i="1"/>
  <c r="L62" i="1"/>
  <c r="AA62" i="1"/>
  <c r="S62" i="1"/>
  <c r="K62" i="1"/>
  <c r="X62" i="1"/>
  <c r="P62" i="1"/>
  <c r="H62" i="1"/>
  <c r="Y62" i="1"/>
  <c r="U62" i="1"/>
  <c r="Q62" i="1"/>
  <c r="M62" i="1"/>
  <c r="I62" i="1"/>
  <c r="Z62" i="1"/>
  <c r="V62" i="1"/>
  <c r="R62" i="1"/>
  <c r="N62" i="1"/>
  <c r="J62" i="1"/>
  <c r="E63" i="1"/>
  <c r="G63" i="1"/>
  <c r="I63" i="1"/>
  <c r="K63" i="1"/>
  <c r="M63" i="1"/>
  <c r="O63" i="1"/>
  <c r="Q63" i="1"/>
  <c r="S63" i="1"/>
  <c r="U63" i="1"/>
  <c r="W63" i="1"/>
  <c r="Y63" i="1"/>
  <c r="D63" i="1"/>
  <c r="F63" i="1"/>
  <c r="H63" i="1"/>
  <c r="J63" i="1"/>
  <c r="L63" i="1"/>
  <c r="N63" i="1"/>
  <c r="P63" i="1"/>
  <c r="R63" i="1"/>
  <c r="T63" i="1"/>
  <c r="V63" i="1"/>
  <c r="X63" i="1"/>
  <c r="Z63" i="1"/>
</calcChain>
</file>

<file path=xl/comments1.xml><?xml version="1.0" encoding="utf-8"?>
<comments xmlns="http://schemas.openxmlformats.org/spreadsheetml/2006/main">
  <authors>
    <author>Tobias Hoppe</author>
  </authors>
  <commentList>
    <comment ref="A13" authorId="0">
      <text>
        <r>
          <rPr>
            <b/>
            <sz val="9"/>
            <color indexed="81"/>
            <rFont val="Tahoma"/>
            <family val="2"/>
          </rPr>
          <t>Stromkosten in kWh des Kunden ohne Grundgebühr
eingeben.</t>
        </r>
      </text>
    </comment>
    <comment ref="E13" authorId="0">
      <text>
        <r>
          <rPr>
            <b/>
            <sz val="9"/>
            <color indexed="81"/>
            <rFont val="Tahoma"/>
            <family val="2"/>
          </rPr>
          <t>Größe des benötigten Raumes in Quadratmetern.</t>
        </r>
      </text>
    </comment>
    <comment ref="K13" authorId="0">
      <text>
        <r>
          <rPr>
            <b/>
            <sz val="9"/>
            <color indexed="81"/>
            <rFont val="Tahoma"/>
            <family val="2"/>
          </rPr>
          <t>Soleverbrauch inkl. der Menge für Wechsel gemäss Wechselintervall und Menge zur Reinigung</t>
        </r>
      </text>
    </comment>
    <comment ref="M13" authorId="0">
      <text>
        <r>
          <rPr>
            <b/>
            <sz val="9"/>
            <color indexed="81"/>
            <rFont val="Tahoma"/>
            <family val="2"/>
          </rPr>
          <t>Salzverbrauch in kg, ergibt sich in Abhängigkeit von Solekonzentration und Soleverbrauch.</t>
        </r>
      </text>
    </comment>
    <comment ref="Q13" authorId="0">
      <text>
        <r>
          <rPr>
            <b/>
            <sz val="9"/>
            <color indexed="81"/>
            <rFont val="Tahoma"/>
            <family val="2"/>
          </rPr>
          <t>Für Dermasan Konzentrationen zwischen 5% - 15%</t>
        </r>
      </text>
    </comment>
    <comment ref="V13" authorId="0">
      <text>
        <r>
          <rPr>
            <b/>
            <sz val="9"/>
            <color indexed="81"/>
            <rFont val="Tahoma"/>
            <family val="2"/>
          </rPr>
          <t>Durschnittliche Anzahl an Öffnungstagen / Monat. (Urlaub und Feiertage beachten)</t>
        </r>
      </text>
    </comment>
    <comment ref="Y13" authorId="0">
      <text>
        <r>
          <rPr>
            <b/>
            <sz val="9"/>
            <color indexed="81"/>
            <rFont val="Tahoma"/>
            <family val="2"/>
          </rPr>
          <t>Betriebstage x 12</t>
        </r>
      </text>
    </comment>
    <comment ref="AC13" authorId="0">
      <text>
        <r>
          <rPr>
            <b/>
            <sz val="9"/>
            <color indexed="81"/>
            <rFont val="Tahoma"/>
            <family val="2"/>
          </rPr>
          <t>Ist die Grundlage für Bäder / Tag</t>
        </r>
      </text>
    </comment>
    <comment ref="A15" authorId="0">
      <text>
        <r>
          <rPr>
            <b/>
            <sz val="9"/>
            <color indexed="81"/>
            <rFont val="Tahoma"/>
            <family val="2"/>
          </rPr>
          <t>Kosten für Wasser / Abwasser je Kubikmeter des Kunden eingeben.</t>
        </r>
      </text>
    </comment>
    <comment ref="E15" authorId="0">
      <text>
        <r>
          <rPr>
            <b/>
            <sz val="9"/>
            <color indexed="81"/>
            <rFont val="Tahoma"/>
            <family val="2"/>
          </rPr>
          <t>Lohnkosten Personal je Stunde.</t>
        </r>
      </text>
    </comment>
    <comment ref="K15" authorId="0">
      <text>
        <r>
          <rPr>
            <b/>
            <sz val="9"/>
            <color indexed="81"/>
            <rFont val="Tahoma"/>
            <family val="2"/>
          </rPr>
          <t>Ergibt sich aus benötigtem Wasser für Reinigung und der durch die Anlage vorgegebenen Systemreinigungsintervalle</t>
        </r>
      </text>
    </comment>
    <comment ref="Q15" authorId="0">
      <text>
        <r>
          <rPr>
            <b/>
            <sz val="9"/>
            <color indexed="81"/>
            <rFont val="Tahoma"/>
            <family val="2"/>
          </rPr>
          <t>Chemie, Reiniger, Filterkartuschen, Kleinmaterial und 2 Service Einsätze / Jahr</t>
        </r>
      </text>
    </comment>
    <comment ref="A17" authorId="0">
      <text>
        <r>
          <rPr>
            <b/>
            <sz val="9"/>
            <color indexed="81"/>
            <rFont val="Tahoma"/>
            <family val="2"/>
          </rPr>
          <t>Mietkosten inkl. Nebenkosten je Quadratmeter.</t>
        </r>
      </text>
    </comment>
    <comment ref="K17" authorId="0">
      <text>
        <r>
          <rPr>
            <b/>
            <sz val="9"/>
            <color indexed="81"/>
            <rFont val="Tahoma"/>
            <family val="2"/>
          </rPr>
          <t>Gemittelter Wert, Stromverbrauch ist eine jährliche Konstante. Je Bad besteht nur ein geringer zusätzlicher Strombedarf.</t>
        </r>
      </text>
    </comment>
    <comment ref="Q17" authorId="0">
      <text>
        <r>
          <rPr>
            <b/>
            <sz val="9"/>
            <color indexed="81"/>
            <rFont val="Tahoma"/>
            <family val="2"/>
          </rPr>
          <t>Zusätzlicher Strombedarf / Bad</t>
        </r>
      </text>
    </comment>
    <comment ref="V18" authorId="0">
      <text>
        <r>
          <rPr>
            <b/>
            <sz val="9"/>
            <color indexed="81"/>
            <rFont val="Tahoma"/>
            <family val="2"/>
          </rPr>
          <t>Abhängig von den räumlichen Gegebenheiten. Wenn Dermasan und Dusche in einem Raum mind. 40 min. Im besten Fall ist Umkleidemöglichkeit, Dusche, Dermasan und Bestrahlung räumlich getrennt, dann ist eine Zeit &lt; 25 min möglich.</t>
        </r>
      </text>
    </comment>
    <comment ref="AC18" authorId="0">
      <text>
        <r>
          <rPr>
            <b/>
            <sz val="9"/>
            <color indexed="81"/>
            <rFont val="Tahoma"/>
            <family val="2"/>
          </rPr>
          <t>Ergibt sich aus der Anzahl der Patienten und den möglichen Betriebstagen. 
Eine rote Schrift signalisiert einen Konflikt zwischen benötigter Zeit für die Anzahl der Bäder je Tag und der zur verfügung stehenden Zeit (Abhängig von Betriebsstunden). Dann sind weitere Betriebsstunden (oder Betriebstage) oder eine weitere Anlage notwendig.</t>
        </r>
      </text>
    </comment>
    <comment ref="Q23" authorId="0">
      <text>
        <r>
          <rPr>
            <b/>
            <sz val="9"/>
            <color indexed="81"/>
            <rFont val="Tahoma"/>
            <family val="2"/>
          </rPr>
          <t>Abschreibung über 8 Jahre</t>
        </r>
      </text>
    </comment>
  </commentList>
</comments>
</file>

<file path=xl/sharedStrings.xml><?xml version="1.0" encoding="utf-8"?>
<sst xmlns="http://schemas.openxmlformats.org/spreadsheetml/2006/main" count="66" uniqueCount="62">
  <si>
    <t>Kunde</t>
  </si>
  <si>
    <t>Name, Vorname</t>
  </si>
  <si>
    <t>Adresse</t>
  </si>
  <si>
    <t>Telefon</t>
  </si>
  <si>
    <t>Fax</t>
  </si>
  <si>
    <t>Praxis bezogene Kosten</t>
  </si>
  <si>
    <t>Anzahl Patienten</t>
  </si>
  <si>
    <t>Daten zur Auslastung</t>
  </si>
  <si>
    <t>Gesamtkosten</t>
  </si>
  <si>
    <t>Strom / kWh</t>
  </si>
  <si>
    <t>-</t>
  </si>
  <si>
    <t>Anlagenpreis</t>
  </si>
  <si>
    <t>Salz / kg</t>
  </si>
  <si>
    <t>Personal / Std.</t>
  </si>
  <si>
    <r>
      <t>Miete / m</t>
    </r>
    <r>
      <rPr>
        <b/>
        <vertAlign val="superscript"/>
        <sz val="8"/>
        <color theme="1"/>
        <rFont val="Calibri"/>
        <family val="2"/>
        <scheme val="minor"/>
      </rPr>
      <t>2</t>
    </r>
  </si>
  <si>
    <t>Betriebstage / Monat / Jahr</t>
  </si>
  <si>
    <t>Öffnungszeiten von - bis</t>
  </si>
  <si>
    <t>/</t>
  </si>
  <si>
    <r>
      <t>Fläche / m</t>
    </r>
    <r>
      <rPr>
        <b/>
        <vertAlign val="superscript"/>
        <sz val="8"/>
        <color theme="1"/>
        <rFont val="Calibri"/>
        <family val="2"/>
        <scheme val="minor"/>
      </rPr>
      <t>2</t>
    </r>
  </si>
  <si>
    <t>kg</t>
  </si>
  <si>
    <t>kWh</t>
  </si>
  <si>
    <t>AG-Nr.</t>
  </si>
  <si>
    <t>Nr.</t>
  </si>
  <si>
    <t>Transport / Montage</t>
  </si>
  <si>
    <t>Angebotsdaten</t>
  </si>
  <si>
    <t>Soleverbrauch / l. kg</t>
  </si>
  <si>
    <t>Wasserverbrauch / l.</t>
  </si>
  <si>
    <t>l.  /</t>
  </si>
  <si>
    <t>Umsatz</t>
  </si>
  <si>
    <t>Ertrag / Gewinn</t>
  </si>
  <si>
    <t>Umsätze / Kosten / Gewinn</t>
  </si>
  <si>
    <t>Stromverbr. / Jahr</t>
  </si>
  <si>
    <t>Stromverbr. / Bad</t>
  </si>
  <si>
    <t>Verbrauchswerte Dermasan</t>
  </si>
  <si>
    <t>Personalkosten</t>
  </si>
  <si>
    <t>Energiekosten</t>
  </si>
  <si>
    <t>Verbrauchsmaterial</t>
  </si>
  <si>
    <t>Mietkosten</t>
  </si>
  <si>
    <t>Pro Bad</t>
  </si>
  <si>
    <t>Pro Monat</t>
  </si>
  <si>
    <t>Pro Jahr</t>
  </si>
  <si>
    <t>Überprüft, ob 5 gleich 4 ist. (0)</t>
  </si>
  <si>
    <t>Überprüft, ob 5 gleich 5 ist. (1)</t>
  </si>
  <si>
    <t>Überprüft, ob 0,5 gleich 0 ist. (0)</t>
  </si>
  <si>
    <t>Monate</t>
  </si>
  <si>
    <t>Kosten</t>
  </si>
  <si>
    <t>Anz.</t>
  </si>
  <si>
    <t>Betriebsstd. / Tag</t>
  </si>
  <si>
    <t>Anzahl Bäder / Tag</t>
  </si>
  <si>
    <t>Salz-Konzentr.</t>
  </si>
  <si>
    <t>KD-Nr.</t>
  </si>
  <si>
    <t>Praxis, Organisation</t>
  </si>
  <si>
    <t>Straße, PLZ, Ort</t>
  </si>
  <si>
    <t xml:space="preserve">Tel </t>
  </si>
  <si>
    <t xml:space="preserve">Fax </t>
  </si>
  <si>
    <t>Rentabilitätsberechnung medizinische Badeanlage Dermasan S</t>
  </si>
  <si>
    <t>Armortisierungszeit medizinische Badeanlage Dermasan S</t>
  </si>
  <si>
    <t>Raumbelegung / Bad</t>
  </si>
  <si>
    <t>(ca. 10 min Aufwand / Patient + 15 min / Tag für Filterwechsel)</t>
  </si>
  <si>
    <r>
      <t>Wasser, Abwasser/m</t>
    </r>
    <r>
      <rPr>
        <b/>
        <vertAlign val="superscript"/>
        <sz val="8"/>
        <color theme="1"/>
        <rFont val="Calibri"/>
        <family val="2"/>
        <scheme val="minor"/>
      </rPr>
      <t>3</t>
    </r>
  </si>
  <si>
    <t>Betriebsmittel, Wartung</t>
  </si>
  <si>
    <t>Abschreibung (8J.)</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</si>
</sst>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
    <numFmt numFmtId="165" formatCode="h:mm;@"/>
    <numFmt numFmtId="166" formatCode="#,##0.0"/>
    <numFmt numFmtId="167" formatCode="#,##0\ &quot;€&quot;"/>
    <numFmt numFmtId="168" formatCode="#,##0.00\ _€"/>
  </numFmts>
  <fonts count="20" x14ac:knownFonts="1">
    <font>
      <sz val="11"/>
      <color theme="1"/>
      <name val="Calibri"/>
      <family val="2"/>
      <scheme val="minor"/>
    </font>
    <font>
      <b/>
      <sz val="11"/>
      <color theme="1"/>
      <name val="Calibri"/>
      <family val="2"/>
      <scheme val="minor"/>
    </font>
    <font>
      <sz val="10"/>
      <name val="Arial"/>
      <family val="2"/>
    </font>
    <font>
      <b/>
      <sz val="16"/>
      <color theme="1"/>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vertAlign val="superscript"/>
      <sz val="8"/>
      <color theme="1"/>
      <name val="Calibri"/>
      <family val="2"/>
      <scheme val="minor"/>
    </font>
    <font>
      <sz val="11"/>
      <color theme="0"/>
      <name val="Calibri"/>
      <family val="2"/>
      <scheme val="minor"/>
    </font>
    <font>
      <sz val="11"/>
      <color rgb="FF454545"/>
      <name val="Arial"/>
      <family val="2"/>
    </font>
    <font>
      <sz val="8"/>
      <color theme="0"/>
      <name val="Calibri"/>
      <family val="2"/>
      <scheme val="minor"/>
    </font>
    <font>
      <sz val="7"/>
      <color theme="0"/>
      <name val="Calibri"/>
      <family val="2"/>
      <scheme val="minor"/>
    </font>
    <font>
      <sz val="11"/>
      <color theme="0" tint="-0.34998626667073579"/>
      <name val="Calibri"/>
      <family val="2"/>
      <scheme val="minor"/>
    </font>
    <font>
      <b/>
      <sz val="9"/>
      <color indexed="81"/>
      <name val="Tahoma"/>
      <family val="2"/>
    </font>
    <font>
      <sz val="11"/>
      <name val="Calibri"/>
      <family val="2"/>
      <scheme val="minor"/>
    </font>
    <font>
      <sz val="7"/>
      <color theme="1"/>
      <name val="Calibri"/>
      <family val="2"/>
      <scheme val="minor"/>
    </font>
    <font>
      <sz val="7"/>
      <name val="Calibri"/>
      <family val="2"/>
      <scheme val="minor"/>
    </font>
    <font>
      <sz val="11"/>
      <color rgb="FFFF0000"/>
      <name val="Calibri"/>
      <family val="2"/>
      <scheme val="minor"/>
    </font>
    <font>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rgb="FFFFFFFF"/>
        <bgColor indexed="64"/>
      </patternFill>
    </fill>
    <fill>
      <patternFill patternType="solid">
        <fgColor rgb="FFF3F3F3"/>
        <bgColor indexed="64"/>
      </patternFill>
    </fill>
    <fill>
      <patternFill patternType="solid">
        <fgColor theme="0" tint="-0.249977111117893"/>
        <bgColor indexed="64"/>
      </patternFill>
    </fill>
  </fills>
  <borders count="3">
    <border>
      <left/>
      <right/>
      <top/>
      <bottom/>
      <diagonal/>
    </border>
    <border>
      <left/>
      <right/>
      <top/>
      <bottom style="medium">
        <color rgb="FFCCCCCC"/>
      </bottom>
      <diagonal/>
    </border>
    <border>
      <left/>
      <right/>
      <top style="medium">
        <color rgb="FFCCCCCC"/>
      </top>
      <bottom style="medium">
        <color rgb="FFCCCCCC"/>
      </bottom>
      <diagonal/>
    </border>
  </borders>
  <cellStyleXfs count="2">
    <xf numFmtId="0" fontId="0" fillId="0" borderId="0"/>
    <xf numFmtId="0" fontId="2" fillId="0" borderId="0"/>
  </cellStyleXfs>
  <cellXfs count="96">
    <xf numFmtId="0" fontId="0" fillId="0" borderId="0" xfId="0"/>
    <xf numFmtId="20" fontId="0" fillId="0" borderId="0" xfId="0" applyNumberFormat="1"/>
    <xf numFmtId="0" fontId="10" fillId="7" borderId="2" xfId="0" applyFont="1" applyFill="1" applyBorder="1" applyAlignment="1">
      <alignment vertical="top" wrapText="1" indent="1"/>
    </xf>
    <xf numFmtId="0" fontId="10" fillId="6" borderId="1" xfId="0" applyFont="1" applyFill="1" applyBorder="1" applyAlignment="1">
      <alignment vertical="top" wrapText="1" indent="1"/>
    </xf>
    <xf numFmtId="3" fontId="0" fillId="4" borderId="0" xfId="0" applyNumberFormat="1" applyFill="1" applyBorder="1" applyAlignment="1" applyProtection="1">
      <alignment horizontal="center" vertical="top"/>
      <protection locked="0"/>
    </xf>
    <xf numFmtId="0" fontId="3" fillId="0" borderId="0" xfId="0" applyFont="1" applyFill="1" applyBorder="1" applyAlignment="1" applyProtection="1">
      <alignment vertical="top"/>
    </xf>
    <xf numFmtId="0" fontId="0" fillId="0" borderId="0" xfId="0" applyFill="1" applyBorder="1" applyAlignment="1" applyProtection="1">
      <alignment vertical="top"/>
    </xf>
    <xf numFmtId="0" fontId="7" fillId="2" borderId="0" xfId="0" applyFont="1" applyFill="1" applyBorder="1" applyAlignment="1" applyProtection="1"/>
    <xf numFmtId="0" fontId="5" fillId="2" borderId="0" xfId="0" applyFont="1" applyFill="1" applyBorder="1" applyAlignment="1" applyProtection="1">
      <alignment horizontal="center" vertical="top"/>
    </xf>
    <xf numFmtId="1" fontId="0" fillId="3" borderId="0" xfId="0" applyNumberFormat="1" applyFill="1" applyBorder="1" applyAlignment="1" applyProtection="1">
      <alignment horizontal="left" vertical="center"/>
    </xf>
    <xf numFmtId="0" fontId="0" fillId="3" borderId="0" xfId="0" applyFill="1" applyBorder="1" applyAlignment="1" applyProtection="1">
      <alignment horizontal="center" vertical="center"/>
    </xf>
    <xf numFmtId="0" fontId="11" fillId="2" borderId="0" xfId="0" applyFont="1" applyFill="1" applyBorder="1" applyAlignment="1" applyProtection="1">
      <alignment vertical="top"/>
    </xf>
    <xf numFmtId="0" fontId="6" fillId="2" borderId="0" xfId="0" applyFont="1" applyFill="1" applyBorder="1" applyAlignment="1" applyProtection="1">
      <alignment vertical="top"/>
    </xf>
    <xf numFmtId="166" fontId="0" fillId="3" borderId="0" xfId="0" applyNumberFormat="1" applyFill="1" applyBorder="1" applyAlignment="1" applyProtection="1">
      <alignment horizontal="right" vertical="center"/>
    </xf>
    <xf numFmtId="0" fontId="9" fillId="2" borderId="0" xfId="0" applyFont="1" applyFill="1" applyBorder="1" applyAlignment="1" applyProtection="1">
      <alignment vertical="top"/>
    </xf>
    <xf numFmtId="164" fontId="0" fillId="0" borderId="0" xfId="0" applyNumberFormat="1" applyFill="1" applyBorder="1" applyAlignment="1" applyProtection="1">
      <alignment vertical="top"/>
    </xf>
    <xf numFmtId="0" fontId="1" fillId="2" borderId="0" xfId="0" applyFont="1" applyFill="1" applyBorder="1" applyAlignment="1" applyProtection="1">
      <alignment vertical="top"/>
    </xf>
    <xf numFmtId="165" fontId="12" fillId="2" borderId="0" xfId="0" applyNumberFormat="1" applyFont="1" applyFill="1" applyBorder="1" applyProtection="1"/>
    <xf numFmtId="0" fontId="12" fillId="2" borderId="0" xfId="0" applyFont="1" applyFill="1" applyBorder="1" applyAlignment="1" applyProtection="1">
      <alignment vertical="top"/>
    </xf>
    <xf numFmtId="167" fontId="12" fillId="2" borderId="0" xfId="0" applyNumberFormat="1" applyFont="1" applyFill="1" applyBorder="1" applyAlignment="1" applyProtection="1">
      <alignment vertical="top"/>
    </xf>
    <xf numFmtId="1" fontId="0" fillId="3" borderId="0" xfId="0" applyNumberFormat="1" applyFill="1" applyBorder="1" applyAlignment="1" applyProtection="1">
      <alignment horizontal="right" vertical="center"/>
    </xf>
    <xf numFmtId="0" fontId="15" fillId="2" borderId="0" xfId="0" applyFont="1" applyFill="1" applyBorder="1" applyAlignment="1" applyProtection="1">
      <alignment vertical="top"/>
    </xf>
    <xf numFmtId="0" fontId="16" fillId="0" borderId="0" xfId="0" applyFont="1" applyFill="1" applyBorder="1" applyAlignment="1" applyProtection="1">
      <alignment vertical="top"/>
    </xf>
    <xf numFmtId="167" fontId="0" fillId="0" borderId="0" xfId="0" applyNumberFormat="1" applyFill="1" applyBorder="1" applyAlignment="1" applyProtection="1">
      <alignment vertical="top"/>
    </xf>
    <xf numFmtId="164" fontId="0" fillId="3" borderId="0" xfId="0" applyNumberFormat="1" applyFill="1" applyBorder="1" applyAlignment="1" applyProtection="1">
      <alignment vertical="top"/>
    </xf>
    <xf numFmtId="0" fontId="1" fillId="3" borderId="0" xfId="0" applyFont="1" applyFill="1" applyBorder="1" applyAlignment="1" applyProtection="1">
      <alignment vertical="top"/>
    </xf>
    <xf numFmtId="0" fontId="0" fillId="3" borderId="0" xfId="0" applyFill="1" applyBorder="1" applyAlignment="1" applyProtection="1">
      <alignment vertical="top"/>
    </xf>
    <xf numFmtId="0" fontId="7" fillId="2" borderId="0" xfId="0" applyFont="1" applyFill="1" applyBorder="1" applyAlignment="1" applyProtection="1">
      <alignment vertical="center"/>
    </xf>
    <xf numFmtId="0" fontId="0" fillId="2" borderId="0" xfId="0" applyFill="1" applyBorder="1" applyAlignment="1" applyProtection="1"/>
    <xf numFmtId="165" fontId="0" fillId="3" borderId="0" xfId="0" applyNumberFormat="1" applyFill="1" applyBorder="1" applyAlignment="1" applyProtection="1">
      <alignment horizontal="center" vertical="center"/>
    </xf>
    <xf numFmtId="0" fontId="0" fillId="2" borderId="0" xfId="0" applyFill="1" applyBorder="1" applyAlignment="1" applyProtection="1">
      <alignment vertical="top"/>
    </xf>
    <xf numFmtId="164" fontId="0" fillId="2" borderId="0" xfId="0" applyNumberFormat="1" applyFill="1" applyBorder="1" applyAlignment="1" applyProtection="1">
      <alignment vertical="top"/>
    </xf>
    <xf numFmtId="168" fontId="11" fillId="2" borderId="0" xfId="0" applyNumberFormat="1" applyFont="1" applyFill="1" applyBorder="1" applyAlignment="1" applyProtection="1">
      <alignment vertical="top"/>
    </xf>
    <xf numFmtId="168" fontId="9" fillId="2" borderId="0" xfId="0" applyNumberFormat="1" applyFont="1" applyFill="1" applyBorder="1" applyAlignment="1" applyProtection="1">
      <alignment vertical="top"/>
    </xf>
    <xf numFmtId="165" fontId="17" fillId="2" borderId="0" xfId="0" applyNumberFormat="1" applyFont="1" applyFill="1" applyBorder="1" applyProtection="1"/>
    <xf numFmtId="0" fontId="17" fillId="2" borderId="0" xfId="0" applyFont="1" applyFill="1" applyBorder="1" applyAlignment="1" applyProtection="1">
      <alignment vertical="top"/>
    </xf>
    <xf numFmtId="165" fontId="11" fillId="2" borderId="0" xfId="0" applyNumberFormat="1" applyFont="1" applyFill="1" applyBorder="1" applyAlignment="1" applyProtection="1">
      <alignment vertical="top"/>
    </xf>
    <xf numFmtId="0" fontId="18" fillId="2" borderId="0" xfId="0" applyFont="1" applyFill="1" applyBorder="1" applyAlignment="1" applyProtection="1">
      <alignment vertical="top"/>
    </xf>
    <xf numFmtId="1" fontId="11" fillId="2" borderId="0" xfId="0" applyNumberFormat="1" applyFont="1" applyFill="1" applyBorder="1" applyAlignment="1" applyProtection="1">
      <alignment vertical="top"/>
    </xf>
    <xf numFmtId="0" fontId="3" fillId="2" borderId="0" xfId="0" applyFont="1" applyFill="1" applyBorder="1" applyAlignment="1" applyProtection="1">
      <alignment horizontal="center" vertical="top"/>
    </xf>
    <xf numFmtId="0" fontId="0" fillId="0" borderId="0" xfId="0" applyAlignment="1" applyProtection="1">
      <alignment horizontal="center" vertical="top"/>
    </xf>
    <xf numFmtId="0" fontId="4" fillId="5" borderId="0" xfId="0" applyFont="1" applyFill="1" applyBorder="1" applyAlignment="1" applyProtection="1">
      <alignment horizontal="center" vertical="center"/>
    </xf>
    <xf numFmtId="0" fontId="0" fillId="0" borderId="0" xfId="0" applyBorder="1" applyAlignment="1" applyProtection="1">
      <alignment horizontal="center" vertical="center"/>
    </xf>
    <xf numFmtId="1" fontId="0" fillId="4" borderId="0" xfId="0" applyNumberFormat="1" applyFill="1"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2" borderId="0" xfId="0" applyFill="1" applyBorder="1" applyAlignment="1" applyProtection="1">
      <alignment vertical="top"/>
    </xf>
    <xf numFmtId="0" fontId="0" fillId="4" borderId="0" xfId="0" applyFill="1" applyBorder="1" applyAlignment="1" applyProtection="1">
      <alignment horizontal="right" vertical="center"/>
      <protection locked="0"/>
    </xf>
    <xf numFmtId="165" fontId="0" fillId="4" borderId="0" xfId="0" applyNumberFormat="1" applyFill="1" applyBorder="1" applyAlignment="1" applyProtection="1">
      <alignment vertical="center"/>
      <protection locked="0"/>
    </xf>
    <xf numFmtId="164" fontId="0" fillId="3" borderId="0" xfId="0" applyNumberFormat="1" applyFill="1" applyBorder="1" applyAlignment="1" applyProtection="1">
      <alignment horizontal="center" vertical="center"/>
    </xf>
    <xf numFmtId="0" fontId="0" fillId="3" borderId="0" xfId="0" applyFill="1" applyBorder="1" applyAlignment="1" applyProtection="1">
      <alignment horizontal="center"/>
    </xf>
    <xf numFmtId="9" fontId="0" fillId="4" borderId="0" xfId="0" applyNumberFormat="1" applyFill="1" applyBorder="1" applyAlignment="1" applyProtection="1">
      <alignment horizontal="center" vertical="center"/>
      <protection locked="0"/>
    </xf>
    <xf numFmtId="0" fontId="0" fillId="4" borderId="0" xfId="0" applyFill="1" applyBorder="1" applyAlignment="1" applyProtection="1">
      <protection locked="0"/>
    </xf>
    <xf numFmtId="2" fontId="11" fillId="2" borderId="0" xfId="0" applyNumberFormat="1" applyFont="1" applyFill="1" applyBorder="1" applyAlignment="1" applyProtection="1">
      <alignment vertical="top"/>
    </xf>
    <xf numFmtId="0" fontId="0" fillId="3" borderId="0" xfId="0" applyFill="1" applyBorder="1" applyAlignment="1" applyProtection="1">
      <alignment horizontal="left" vertical="center"/>
    </xf>
    <xf numFmtId="2" fontId="11" fillId="0" borderId="0" xfId="0" applyNumberFormat="1" applyFont="1" applyFill="1" applyBorder="1" applyAlignment="1" applyProtection="1">
      <alignment vertical="top"/>
    </xf>
    <xf numFmtId="0" fontId="9" fillId="0" borderId="0" xfId="0" applyFont="1" applyBorder="1" applyAlignment="1" applyProtection="1">
      <alignment vertical="top"/>
    </xf>
    <xf numFmtId="2" fontId="11" fillId="0" borderId="0" xfId="0" applyNumberFormat="1" applyFont="1" applyBorder="1" applyAlignment="1" applyProtection="1">
      <alignment vertical="top"/>
    </xf>
    <xf numFmtId="164" fontId="0" fillId="2" borderId="0" xfId="0" applyNumberFormat="1" applyFill="1" applyBorder="1" applyAlignment="1" applyProtection="1">
      <alignment vertical="top"/>
    </xf>
    <xf numFmtId="164" fontId="0" fillId="3" borderId="0" xfId="0" applyNumberFormat="1" applyFill="1" applyBorder="1" applyAlignment="1" applyProtection="1">
      <alignment vertical="top"/>
    </xf>
    <xf numFmtId="0" fontId="0" fillId="0" borderId="0" xfId="0" applyBorder="1" applyAlignment="1" applyProtection="1">
      <alignment vertical="top"/>
    </xf>
    <xf numFmtId="164" fontId="0" fillId="8" borderId="0" xfId="0" applyNumberFormat="1" applyFill="1" applyBorder="1" applyAlignment="1" applyProtection="1">
      <alignment vertical="top"/>
    </xf>
    <xf numFmtId="0" fontId="0" fillId="8" borderId="0" xfId="0" applyFill="1" applyBorder="1" applyAlignment="1" applyProtection="1">
      <alignment vertical="top"/>
    </xf>
    <xf numFmtId="0" fontId="0" fillId="4" borderId="0" xfId="0" applyFill="1" applyBorder="1" applyAlignment="1" applyProtection="1">
      <alignment vertical="top"/>
      <protection locked="0"/>
    </xf>
    <xf numFmtId="49" fontId="0" fillId="4" borderId="0" xfId="0" applyNumberFormat="1" applyFill="1" applyBorder="1" applyAlignment="1" applyProtection="1">
      <alignment vertical="top"/>
      <protection locked="0"/>
    </xf>
    <xf numFmtId="49" fontId="0" fillId="4" borderId="0" xfId="0" applyNumberFormat="1" applyFill="1" applyBorder="1" applyAlignment="1" applyProtection="1">
      <protection locked="0"/>
    </xf>
    <xf numFmtId="164" fontId="0" fillId="4" borderId="0" xfId="0" applyNumberFormat="1" applyFill="1" applyBorder="1" applyAlignment="1" applyProtection="1">
      <alignment vertical="top"/>
      <protection locked="0"/>
    </xf>
    <xf numFmtId="0" fontId="0" fillId="0" borderId="0" xfId="0" applyBorder="1" applyAlignment="1" applyProtection="1">
      <alignment vertical="top"/>
      <protection locked="0"/>
    </xf>
    <xf numFmtId="0" fontId="1"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0" borderId="0" xfId="0" applyAlignment="1" applyProtection="1">
      <alignment vertical="center"/>
    </xf>
    <xf numFmtId="0" fontId="0" fillId="4" borderId="0" xfId="0" applyFill="1" applyBorder="1" applyAlignment="1" applyProtection="1">
      <alignment horizontal="center" vertical="center"/>
      <protection locked="0"/>
    </xf>
    <xf numFmtId="165" fontId="0" fillId="3" borderId="0" xfId="0" applyNumberFormat="1" applyFill="1" applyBorder="1" applyAlignment="1" applyProtection="1">
      <alignment horizontal="center" vertical="center"/>
    </xf>
    <xf numFmtId="1" fontId="0" fillId="3" borderId="0" xfId="0" applyNumberFormat="1" applyFill="1" applyBorder="1" applyAlignment="1" applyProtection="1">
      <alignment horizontal="center" vertical="center"/>
    </xf>
    <xf numFmtId="2" fontId="0" fillId="3" borderId="0" xfId="0" applyNumberFormat="1" applyFill="1" applyBorder="1" applyAlignment="1" applyProtection="1">
      <alignment horizontal="left" vertical="center"/>
    </xf>
    <xf numFmtId="164" fontId="0" fillId="4" borderId="0" xfId="0" applyNumberFormat="1" applyFill="1" applyBorder="1" applyAlignment="1" applyProtection="1">
      <alignment horizontal="center" vertical="center"/>
      <protection locked="0"/>
    </xf>
    <xf numFmtId="1" fontId="0" fillId="4" borderId="0" xfId="0" applyNumberFormat="1" applyFill="1" applyBorder="1" applyAlignment="1" applyProtection="1">
      <alignment horizontal="center" vertical="center"/>
      <protection locked="0"/>
    </xf>
    <xf numFmtId="0" fontId="6" fillId="2" borderId="0" xfId="0" applyFont="1" applyFill="1" applyBorder="1" applyAlignment="1" applyProtection="1">
      <alignment vertical="top" wrapText="1"/>
    </xf>
    <xf numFmtId="0" fontId="0" fillId="2" borderId="0" xfId="0" applyFill="1" applyBorder="1" applyAlignment="1" applyProtection="1">
      <alignment vertical="top" wrapText="1"/>
    </xf>
    <xf numFmtId="0" fontId="7" fillId="2" borderId="0" xfId="0" applyFont="1" applyFill="1" applyBorder="1" applyAlignment="1" applyProtection="1">
      <alignment vertical="center"/>
    </xf>
    <xf numFmtId="0" fontId="0" fillId="2" borderId="0" xfId="0" applyFill="1" applyBorder="1" applyAlignment="1" applyProtection="1"/>
    <xf numFmtId="0" fontId="0" fillId="0" borderId="0" xfId="0" applyBorder="1" applyAlignment="1" applyProtection="1"/>
    <xf numFmtId="165" fontId="6" fillId="2" borderId="0" xfId="0" applyNumberFormat="1" applyFont="1" applyFill="1" applyBorder="1" applyAlignment="1" applyProtection="1">
      <alignment vertical="top"/>
    </xf>
    <xf numFmtId="1" fontId="0" fillId="3" borderId="0" xfId="0" applyNumberFormat="1" applyFont="1" applyFill="1" applyBorder="1" applyAlignment="1" applyProtection="1">
      <alignment horizontal="center" vertical="center"/>
    </xf>
    <xf numFmtId="2" fontId="19" fillId="2" borderId="0" xfId="0" applyNumberFormat="1" applyFont="1" applyFill="1" applyBorder="1" applyAlignment="1" applyProtection="1">
      <alignment vertical="top"/>
    </xf>
    <xf numFmtId="2" fontId="19" fillId="0" borderId="0" xfId="0" applyNumberFormat="1" applyFont="1" applyBorder="1" applyAlignment="1" applyProtection="1">
      <alignment vertical="top"/>
    </xf>
    <xf numFmtId="3" fontId="0" fillId="3" borderId="0" xfId="0" applyNumberFormat="1" applyFill="1" applyBorder="1" applyAlignment="1" applyProtection="1">
      <alignment horizontal="left" vertical="center"/>
    </xf>
    <xf numFmtId="0" fontId="0" fillId="3" borderId="0" xfId="0" applyFill="1" applyBorder="1" applyAlignment="1" applyProtection="1">
      <alignment vertical="center"/>
    </xf>
    <xf numFmtId="165" fontId="11" fillId="2" borderId="0" xfId="0" applyNumberFormat="1" applyFont="1" applyFill="1" applyBorder="1" applyAlignment="1" applyProtection="1">
      <alignment vertical="top"/>
    </xf>
    <xf numFmtId="0" fontId="11" fillId="0" borderId="0" xfId="0" applyFont="1" applyBorder="1" applyAlignment="1" applyProtection="1">
      <alignment vertical="top"/>
    </xf>
    <xf numFmtId="164" fontId="13" fillId="3" borderId="0" xfId="0" applyNumberFormat="1" applyFont="1" applyFill="1" applyBorder="1" applyAlignment="1" applyProtection="1">
      <alignment vertical="top"/>
    </xf>
    <xf numFmtId="0" fontId="1" fillId="3" borderId="0" xfId="0" applyFont="1" applyFill="1" applyBorder="1" applyAlignment="1" applyProtection="1">
      <alignment vertical="top"/>
    </xf>
    <xf numFmtId="0" fontId="0" fillId="3" borderId="0" xfId="0" applyFill="1" applyBorder="1" applyAlignment="1" applyProtection="1">
      <alignment vertical="top"/>
    </xf>
    <xf numFmtId="0" fontId="1" fillId="8" borderId="0" xfId="0" applyFont="1" applyFill="1" applyBorder="1" applyAlignment="1" applyProtection="1">
      <alignment vertical="top"/>
    </xf>
    <xf numFmtId="0" fontId="0" fillId="2" borderId="0" xfId="0" applyFill="1" applyBorder="1" applyAlignment="1" applyProtection="1">
      <alignment horizontal="center" vertical="top"/>
    </xf>
    <xf numFmtId="165" fontId="0" fillId="4" borderId="0" xfId="0" applyNumberFormat="1" applyFill="1" applyBorder="1" applyAlignment="1" applyProtection="1">
      <alignment horizontal="center" vertical="center"/>
      <protection locked="0"/>
    </xf>
    <xf numFmtId="164" fontId="11" fillId="2" borderId="0" xfId="0" applyNumberFormat="1" applyFont="1" applyFill="1" applyBorder="1" applyAlignment="1" applyProtection="1">
      <alignment vertical="top"/>
    </xf>
  </cellXfs>
  <cellStyles count="2">
    <cellStyle name="Standard" xfId="0" builtinId="0"/>
    <cellStyle name="Standard 2" xfId="1"/>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Tabelle1!$B$61</c:f>
              <c:strCache>
                <c:ptCount val="1"/>
                <c:pt idx="0">
                  <c:v>Umsatz</c:v>
                </c:pt>
              </c:strCache>
            </c:strRef>
          </c:tx>
          <c:marker>
            <c:symbol val="none"/>
          </c:marker>
          <c:xVal>
            <c:numRef>
              <c:f>Tabelle1!$C$60:$AA$60</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Tabelle1!$C$61:$AA$61</c:f>
              <c:numCache>
                <c:formatCode>#,##0\ "€"</c:formatCode>
                <c:ptCount val="25"/>
                <c:pt idx="0">
                  <c:v>0.0</c:v>
                </c:pt>
                <c:pt idx="1">
                  <c:v>5990.833333333333</c:v>
                </c:pt>
                <c:pt idx="2">
                  <c:v>11981.66666666667</c:v>
                </c:pt>
                <c:pt idx="3">
                  <c:v>17972.5</c:v>
                </c:pt>
                <c:pt idx="4">
                  <c:v>23963.33333333333</c:v>
                </c:pt>
                <c:pt idx="5">
                  <c:v>29954.16666666666</c:v>
                </c:pt>
                <c:pt idx="6">
                  <c:v>35945.0</c:v>
                </c:pt>
                <c:pt idx="7">
                  <c:v>41935.83333333333</c:v>
                </c:pt>
                <c:pt idx="8">
                  <c:v>47926.66666666666</c:v>
                </c:pt>
                <c:pt idx="9">
                  <c:v>53917.5</c:v>
                </c:pt>
                <c:pt idx="10">
                  <c:v>59908.33333333333</c:v>
                </c:pt>
                <c:pt idx="11">
                  <c:v>65899.16666666666</c:v>
                </c:pt>
                <c:pt idx="12">
                  <c:v>71890.0</c:v>
                </c:pt>
                <c:pt idx="13">
                  <c:v>77880.83333333333</c:v>
                </c:pt>
                <c:pt idx="14">
                  <c:v>83871.66666666666</c:v>
                </c:pt>
                <c:pt idx="15">
                  <c:v>89862.5</c:v>
                </c:pt>
                <c:pt idx="16">
                  <c:v>95853.33333333333</c:v>
                </c:pt>
                <c:pt idx="17">
                  <c:v>101844.1666666667</c:v>
                </c:pt>
                <c:pt idx="18">
                  <c:v>107835.0</c:v>
                </c:pt>
                <c:pt idx="19">
                  <c:v>113825.8333333333</c:v>
                </c:pt>
                <c:pt idx="20">
                  <c:v>119816.6666666667</c:v>
                </c:pt>
                <c:pt idx="21">
                  <c:v>125807.5</c:v>
                </c:pt>
                <c:pt idx="22">
                  <c:v>131798.3333333333</c:v>
                </c:pt>
                <c:pt idx="23">
                  <c:v>137789.1666666667</c:v>
                </c:pt>
                <c:pt idx="24">
                  <c:v>143780.0</c:v>
                </c:pt>
              </c:numCache>
            </c:numRef>
          </c:yVal>
          <c:smooth val="0"/>
        </c:ser>
        <c:ser>
          <c:idx val="1"/>
          <c:order val="1"/>
          <c:tx>
            <c:strRef>
              <c:f>Tabelle1!$B$62</c:f>
              <c:strCache>
                <c:ptCount val="1"/>
                <c:pt idx="0">
                  <c:v>Kosten</c:v>
                </c:pt>
              </c:strCache>
            </c:strRef>
          </c:tx>
          <c:marker>
            <c:symbol val="none"/>
          </c:marker>
          <c:xVal>
            <c:numRef>
              <c:f>Tabelle1!$C$60:$AA$60</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Tabelle1!$C$62:$AA$62</c:f>
              <c:numCache>
                <c:formatCode>#,##0\ "€"</c:formatCode>
                <c:ptCount val="25"/>
                <c:pt idx="0">
                  <c:v>62508.65</c:v>
                </c:pt>
                <c:pt idx="1">
                  <c:v>63440.848</c:v>
                </c:pt>
                <c:pt idx="2">
                  <c:v>64641.696</c:v>
                </c:pt>
                <c:pt idx="3">
                  <c:v>65842.54399999999</c:v>
                </c:pt>
                <c:pt idx="4">
                  <c:v>67043.392</c:v>
                </c:pt>
                <c:pt idx="5">
                  <c:v>68244.24000000001</c:v>
                </c:pt>
                <c:pt idx="6">
                  <c:v>69445.088</c:v>
                </c:pt>
                <c:pt idx="7">
                  <c:v>70645.936</c:v>
                </c:pt>
                <c:pt idx="8">
                  <c:v>71846.784</c:v>
                </c:pt>
                <c:pt idx="9">
                  <c:v>73047.632</c:v>
                </c:pt>
                <c:pt idx="10">
                  <c:v>74248.48</c:v>
                </c:pt>
                <c:pt idx="11">
                  <c:v>75449.328</c:v>
                </c:pt>
                <c:pt idx="12">
                  <c:v>76650.176</c:v>
                </c:pt>
                <c:pt idx="13">
                  <c:v>77851.024</c:v>
                </c:pt>
                <c:pt idx="14">
                  <c:v>79051.872</c:v>
                </c:pt>
                <c:pt idx="15">
                  <c:v>80252.72</c:v>
                </c:pt>
                <c:pt idx="16">
                  <c:v>81453.568</c:v>
                </c:pt>
                <c:pt idx="17">
                  <c:v>82654.416</c:v>
                </c:pt>
                <c:pt idx="18">
                  <c:v>83855.264</c:v>
                </c:pt>
                <c:pt idx="19">
                  <c:v>85056.112</c:v>
                </c:pt>
                <c:pt idx="20">
                  <c:v>86256.96</c:v>
                </c:pt>
                <c:pt idx="21">
                  <c:v>87457.80799999999</c:v>
                </c:pt>
                <c:pt idx="22">
                  <c:v>88658.656</c:v>
                </c:pt>
                <c:pt idx="23">
                  <c:v>89859.504</c:v>
                </c:pt>
                <c:pt idx="24">
                  <c:v>91060.352</c:v>
                </c:pt>
              </c:numCache>
            </c:numRef>
          </c:yVal>
          <c:smooth val="0"/>
        </c:ser>
        <c:dLbls>
          <c:showLegendKey val="0"/>
          <c:showVal val="0"/>
          <c:showCatName val="0"/>
          <c:showSerName val="0"/>
          <c:showPercent val="0"/>
          <c:showBubbleSize val="0"/>
        </c:dLbls>
        <c:axId val="-2099502072"/>
        <c:axId val="-2099499240"/>
      </c:scatterChart>
      <c:valAx>
        <c:axId val="-2099502072"/>
        <c:scaling>
          <c:orientation val="minMax"/>
        </c:scaling>
        <c:delete val="0"/>
        <c:axPos val="b"/>
        <c:numFmt formatCode="General" sourceLinked="1"/>
        <c:majorTickMark val="out"/>
        <c:minorTickMark val="none"/>
        <c:tickLblPos val="nextTo"/>
        <c:crossAx val="-2099499240"/>
        <c:crosses val="autoZero"/>
        <c:crossBetween val="midCat"/>
        <c:majorUnit val="2.0"/>
      </c:valAx>
      <c:valAx>
        <c:axId val="-2099499240"/>
        <c:scaling>
          <c:orientation val="minMax"/>
        </c:scaling>
        <c:delete val="0"/>
        <c:axPos val="l"/>
        <c:numFmt formatCode="#,##0\ &quot;€&quot;" sourceLinked="0"/>
        <c:majorTickMark val="out"/>
        <c:minorTickMark val="none"/>
        <c:tickLblPos val="nextTo"/>
        <c:crossAx val="-2099502072"/>
        <c:crosses val="autoZero"/>
        <c:crossBetween val="midCat"/>
      </c:valAx>
    </c:plotArea>
    <c:legend>
      <c:legendPos val="r"/>
      <c:layout/>
      <c:overlay val="0"/>
    </c:legend>
    <c:plotVisOnly val="1"/>
    <c:dispBlanksAs val="gap"/>
    <c:showDLblsOverMax val="0"/>
  </c:chart>
  <c:printSettings>
    <c:headerFooter/>
    <c:pageMargins b="0.787401575" l="0.7" r="0.7" t="0.7874015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59531</xdr:colOff>
      <xdr:row>39</xdr:row>
      <xdr:rowOff>182164</xdr:rowOff>
    </xdr:from>
    <xdr:to>
      <xdr:col>32</xdr:col>
      <xdr:colOff>130968</xdr:colOff>
      <xdr:row>65</xdr:row>
      <xdr:rowOff>154781</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dimension ref="A1:AJ71"/>
  <sheetViews>
    <sheetView tabSelected="1" showWhiteSpace="0" workbookViewId="0">
      <selection activeCell="AL33" sqref="AL33"/>
    </sheetView>
  </sheetViews>
  <sheetFormatPr baseColWidth="10" defaultRowHeight="14" x14ac:dyDescent="0"/>
  <cols>
    <col min="1" max="33" width="3.6640625" style="6" customWidth="1"/>
    <col min="34" max="16384" width="10.83203125" style="6"/>
  </cols>
  <sheetData>
    <row r="1" spans="1:33" s="5" customFormat="1" ht="20">
      <c r="A1" s="39" t="s">
        <v>55</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59"/>
    </row>
    <row r="2" spans="1:33"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3" ht="15">
      <c r="A3" s="41" t="s">
        <v>0</v>
      </c>
      <c r="B3" s="69"/>
      <c r="C3" s="69"/>
      <c r="D3" s="69"/>
      <c r="E3" s="69"/>
      <c r="F3" s="69"/>
      <c r="G3" s="69"/>
      <c r="H3" s="69"/>
      <c r="I3" s="69"/>
      <c r="J3" s="69"/>
      <c r="K3" s="69"/>
      <c r="L3" s="69"/>
      <c r="M3" s="69"/>
      <c r="N3" s="69"/>
      <c r="O3" s="69"/>
      <c r="P3" s="69"/>
      <c r="Q3" s="69"/>
      <c r="R3" s="69"/>
      <c r="S3" s="69"/>
      <c r="T3" s="69"/>
      <c r="U3" s="69"/>
      <c r="V3" s="69"/>
      <c r="W3" s="69"/>
      <c r="X3" s="30"/>
      <c r="Y3" s="41" t="s">
        <v>24</v>
      </c>
      <c r="Z3" s="42"/>
      <c r="AA3" s="42"/>
      <c r="AB3" s="42"/>
      <c r="AC3" s="42"/>
      <c r="AD3" s="42"/>
      <c r="AE3" s="42"/>
      <c r="AF3" s="42"/>
      <c r="AG3" s="42"/>
    </row>
    <row r="4" spans="1:33">
      <c r="A4" s="7" t="s">
        <v>0</v>
      </c>
      <c r="B4" s="28"/>
      <c r="C4" s="28"/>
      <c r="D4" s="28"/>
      <c r="E4" s="7"/>
      <c r="F4" s="7"/>
      <c r="G4" s="7"/>
      <c r="H4" s="7"/>
      <c r="I4" s="7"/>
      <c r="J4" s="7"/>
      <c r="K4" s="7"/>
      <c r="L4" s="7"/>
      <c r="M4" s="7"/>
      <c r="N4" s="7"/>
      <c r="O4" s="7"/>
      <c r="P4" s="7"/>
      <c r="Q4" s="30"/>
      <c r="R4" s="30"/>
      <c r="S4" s="7" t="s">
        <v>50</v>
      </c>
      <c r="T4" s="28"/>
      <c r="U4" s="28"/>
      <c r="V4" s="28"/>
      <c r="W4" s="28"/>
      <c r="X4" s="30"/>
      <c r="Y4" s="7" t="s">
        <v>46</v>
      </c>
      <c r="Z4" s="7"/>
      <c r="AA4" s="7" t="s">
        <v>12</v>
      </c>
      <c r="AB4" s="7"/>
      <c r="AC4" s="7"/>
      <c r="AD4" s="7" t="s">
        <v>21</v>
      </c>
      <c r="AE4" s="7"/>
      <c r="AF4" s="7"/>
      <c r="AG4" s="7"/>
    </row>
    <row r="5" spans="1:33">
      <c r="A5" s="62" t="s">
        <v>51</v>
      </c>
      <c r="B5" s="62"/>
      <c r="C5" s="62"/>
      <c r="D5" s="62"/>
      <c r="E5" s="62"/>
      <c r="F5" s="62"/>
      <c r="G5" s="62"/>
      <c r="H5" s="62"/>
      <c r="I5" s="62"/>
      <c r="J5" s="62"/>
      <c r="K5" s="62"/>
      <c r="L5" s="62"/>
      <c r="M5" s="62"/>
      <c r="N5" s="62"/>
      <c r="O5" s="62"/>
      <c r="P5" s="62"/>
      <c r="Q5" s="30"/>
      <c r="R5" s="30"/>
      <c r="S5" s="43" t="s">
        <v>22</v>
      </c>
      <c r="T5" s="44"/>
      <c r="U5" s="44"/>
      <c r="V5" s="44"/>
      <c r="W5" s="44"/>
      <c r="X5" s="30"/>
      <c r="Y5" s="4">
        <v>1</v>
      </c>
      <c r="Z5" s="30"/>
      <c r="AA5" s="65">
        <v>1.41</v>
      </c>
      <c r="AB5" s="65"/>
      <c r="AC5" s="30"/>
      <c r="AD5" s="43"/>
      <c r="AE5" s="44"/>
      <c r="AF5" s="44"/>
      <c r="AG5" s="44"/>
    </row>
    <row r="6" spans="1:33">
      <c r="A6" s="7" t="s">
        <v>1</v>
      </c>
      <c r="B6" s="28"/>
      <c r="C6" s="28"/>
      <c r="D6" s="28"/>
      <c r="E6" s="7"/>
      <c r="F6" s="7"/>
      <c r="G6" s="7"/>
      <c r="H6" s="7"/>
      <c r="I6" s="7"/>
      <c r="J6" s="7"/>
      <c r="K6" s="7"/>
      <c r="L6" s="30"/>
      <c r="M6" s="30"/>
      <c r="N6" s="30"/>
      <c r="O6" s="30"/>
      <c r="P6" s="30"/>
      <c r="Q6" s="30"/>
      <c r="R6" s="30"/>
      <c r="S6" s="7" t="s">
        <v>3</v>
      </c>
      <c r="T6" s="28"/>
      <c r="U6" s="30"/>
      <c r="V6" s="30"/>
      <c r="W6" s="30"/>
      <c r="X6" s="30"/>
      <c r="Y6" s="7" t="s">
        <v>11</v>
      </c>
      <c r="AA6" s="28"/>
      <c r="AB6" s="28"/>
      <c r="AC6" s="28"/>
      <c r="AD6" s="28"/>
      <c r="AE6" s="30"/>
      <c r="AF6" s="30"/>
      <c r="AG6" s="30"/>
    </row>
    <row r="7" spans="1:33">
      <c r="A7" s="62" t="s">
        <v>1</v>
      </c>
      <c r="B7" s="62"/>
      <c r="C7" s="62"/>
      <c r="D7" s="62"/>
      <c r="E7" s="62"/>
      <c r="F7" s="62"/>
      <c r="G7" s="62"/>
      <c r="H7" s="62"/>
      <c r="I7" s="62"/>
      <c r="J7" s="62"/>
      <c r="K7" s="62"/>
      <c r="L7" s="62"/>
      <c r="M7" s="62"/>
      <c r="N7" s="62"/>
      <c r="O7" s="62"/>
      <c r="P7" s="62"/>
      <c r="Q7" s="30"/>
      <c r="R7" s="30"/>
      <c r="S7" s="63" t="s">
        <v>53</v>
      </c>
      <c r="T7" s="64"/>
      <c r="U7" s="64"/>
      <c r="V7" s="64"/>
      <c r="W7" s="64"/>
      <c r="X7" s="30"/>
      <c r="Y7" s="65">
        <v>59640</v>
      </c>
      <c r="Z7" s="66"/>
      <c r="AA7" s="66"/>
      <c r="AB7" s="66"/>
      <c r="AC7" s="66"/>
      <c r="AD7" s="30"/>
      <c r="AE7" s="30"/>
      <c r="AF7" s="30"/>
      <c r="AG7" s="30"/>
    </row>
    <row r="8" spans="1:33">
      <c r="A8" s="7" t="s">
        <v>2</v>
      </c>
      <c r="B8" s="28"/>
      <c r="C8" s="28"/>
      <c r="D8" s="28"/>
      <c r="E8" s="7"/>
      <c r="F8" s="7"/>
      <c r="G8" s="7"/>
      <c r="H8" s="7"/>
      <c r="I8" s="7"/>
      <c r="J8" s="7"/>
      <c r="K8" s="7"/>
      <c r="L8" s="7"/>
      <c r="M8" s="7"/>
      <c r="N8" s="7"/>
      <c r="O8" s="7"/>
      <c r="P8" s="7"/>
      <c r="Q8" s="7"/>
      <c r="R8" s="7"/>
      <c r="S8" s="7" t="s">
        <v>4</v>
      </c>
      <c r="T8" s="28"/>
      <c r="U8" s="7"/>
      <c r="V8" s="30"/>
      <c r="W8" s="30"/>
      <c r="X8" s="30"/>
      <c r="Y8" s="7" t="s">
        <v>23</v>
      </c>
      <c r="Z8" s="30"/>
      <c r="AA8" s="30"/>
      <c r="AB8" s="30"/>
      <c r="AC8" s="30"/>
      <c r="AD8" s="28"/>
      <c r="AE8" s="30"/>
      <c r="AF8" s="30"/>
      <c r="AG8" s="30"/>
    </row>
    <row r="9" spans="1:33">
      <c r="A9" s="62" t="s">
        <v>52</v>
      </c>
      <c r="B9" s="62"/>
      <c r="C9" s="62"/>
      <c r="D9" s="62"/>
      <c r="E9" s="62"/>
      <c r="F9" s="62"/>
      <c r="G9" s="62"/>
      <c r="H9" s="62"/>
      <c r="I9" s="62"/>
      <c r="J9" s="62"/>
      <c r="K9" s="62"/>
      <c r="L9" s="62"/>
      <c r="M9" s="62"/>
      <c r="N9" s="62"/>
      <c r="O9" s="62"/>
      <c r="P9" s="62"/>
      <c r="Q9" s="7"/>
      <c r="R9" s="7"/>
      <c r="S9" s="63" t="s">
        <v>54</v>
      </c>
      <c r="T9" s="64"/>
      <c r="U9" s="64"/>
      <c r="V9" s="64"/>
      <c r="W9" s="64"/>
      <c r="X9" s="30"/>
      <c r="Y9" s="65">
        <v>2600</v>
      </c>
      <c r="Z9" s="66"/>
      <c r="AA9" s="66"/>
      <c r="AB9" s="66"/>
      <c r="AC9" s="66"/>
      <c r="AD9" s="30"/>
      <c r="AE9" s="30"/>
      <c r="AF9" s="30"/>
      <c r="AG9" s="30"/>
    </row>
    <row r="10" spans="1:33" ht="1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row>
    <row r="11" spans="1:33" ht="15">
      <c r="A11" s="41" t="s">
        <v>5</v>
      </c>
      <c r="B11" s="67"/>
      <c r="C11" s="67"/>
      <c r="D11" s="67"/>
      <c r="E11" s="67"/>
      <c r="F11" s="67"/>
      <c r="G11" s="67"/>
      <c r="H11" s="67"/>
      <c r="I11" s="67"/>
      <c r="J11" s="8"/>
      <c r="K11" s="41" t="s">
        <v>33</v>
      </c>
      <c r="L11" s="67"/>
      <c r="M11" s="67"/>
      <c r="N11" s="67"/>
      <c r="O11" s="67"/>
      <c r="P11" s="67"/>
      <c r="Q11" s="67"/>
      <c r="R11" s="67"/>
      <c r="S11" s="67"/>
      <c r="T11" s="68"/>
      <c r="U11" s="8"/>
      <c r="V11" s="41" t="s">
        <v>7</v>
      </c>
      <c r="W11" s="67"/>
      <c r="X11" s="67"/>
      <c r="Y11" s="67"/>
      <c r="Z11" s="67"/>
      <c r="AA11" s="67"/>
      <c r="AB11" s="67"/>
      <c r="AC11" s="67"/>
      <c r="AD11" s="67"/>
      <c r="AE11" s="68"/>
      <c r="AF11" s="68"/>
      <c r="AG11" s="68"/>
    </row>
    <row r="12" spans="1:33">
      <c r="A12" s="7" t="s">
        <v>9</v>
      </c>
      <c r="B12" s="28"/>
      <c r="C12" s="28"/>
      <c r="D12" s="7"/>
      <c r="E12" s="7" t="s">
        <v>18</v>
      </c>
      <c r="F12" s="7"/>
      <c r="G12" s="7"/>
      <c r="H12" s="7"/>
      <c r="I12" s="7"/>
      <c r="J12" s="30"/>
      <c r="K12" s="7" t="s">
        <v>25</v>
      </c>
      <c r="L12" s="30"/>
      <c r="M12" s="30"/>
      <c r="N12" s="30"/>
      <c r="O12" s="30"/>
      <c r="P12" s="30"/>
      <c r="Q12" s="7" t="s">
        <v>49</v>
      </c>
      <c r="R12" s="30"/>
      <c r="S12" s="30"/>
      <c r="T12" s="30"/>
      <c r="U12" s="30"/>
      <c r="V12" s="7" t="s">
        <v>15</v>
      </c>
      <c r="W12" s="30"/>
      <c r="X12" s="30"/>
      <c r="Y12" s="30"/>
      <c r="Z12" s="30"/>
      <c r="AA12" s="30"/>
      <c r="AB12" s="30"/>
      <c r="AC12" s="7" t="s">
        <v>6</v>
      </c>
      <c r="AD12" s="30"/>
      <c r="AE12" s="30"/>
      <c r="AF12" s="30"/>
      <c r="AG12" s="30"/>
    </row>
    <row r="13" spans="1:33">
      <c r="A13" s="74">
        <v>0.18</v>
      </c>
      <c r="B13" s="74"/>
      <c r="C13" s="30"/>
      <c r="D13" s="30"/>
      <c r="E13" s="75">
        <v>16</v>
      </c>
      <c r="F13" s="75"/>
      <c r="G13" s="30"/>
      <c r="H13" s="30"/>
      <c r="I13" s="30"/>
      <c r="J13" s="30"/>
      <c r="K13" s="20">
        <v>5</v>
      </c>
      <c r="L13" s="9" t="s">
        <v>27</v>
      </c>
      <c r="M13" s="73">
        <f>K13*(0.1*(Q13*10))</f>
        <v>0.75000000000000011</v>
      </c>
      <c r="N13" s="73"/>
      <c r="O13" s="9" t="s">
        <v>19</v>
      </c>
      <c r="P13" s="30"/>
      <c r="Q13" s="50">
        <v>0.15</v>
      </c>
      <c r="R13" s="50"/>
      <c r="S13" s="51"/>
      <c r="T13" s="30"/>
      <c r="U13" s="30"/>
      <c r="V13" s="46">
        <v>22</v>
      </c>
      <c r="W13" s="46"/>
      <c r="X13" s="10" t="s">
        <v>17</v>
      </c>
      <c r="Y13" s="53">
        <f>V13*12</f>
        <v>264</v>
      </c>
      <c r="Z13" s="53"/>
      <c r="AA13" s="30"/>
      <c r="AB13" s="30"/>
      <c r="AC13" s="70">
        <v>26</v>
      </c>
      <c r="AD13" s="70"/>
      <c r="AE13" s="38">
        <f>($AC$13*35)*2/$Y$13</f>
        <v>6.8939393939393936</v>
      </c>
      <c r="AF13" s="52">
        <f>(AC13*2)*35</f>
        <v>1820</v>
      </c>
      <c r="AG13" s="52"/>
    </row>
    <row r="14" spans="1:33">
      <c r="A14" s="7" t="s">
        <v>59</v>
      </c>
      <c r="B14" s="28"/>
      <c r="C14" s="28"/>
      <c r="D14" s="7"/>
      <c r="E14" s="7" t="s">
        <v>13</v>
      </c>
      <c r="F14" s="7"/>
      <c r="G14" s="7"/>
      <c r="H14" s="7"/>
      <c r="I14" s="30"/>
      <c r="J14" s="30"/>
      <c r="K14" s="7" t="s">
        <v>26</v>
      </c>
      <c r="L14" s="30"/>
      <c r="M14" s="30"/>
      <c r="N14" s="30"/>
      <c r="O14" s="30"/>
      <c r="P14" s="30"/>
      <c r="Q14" s="7" t="s">
        <v>60</v>
      </c>
      <c r="R14" s="30"/>
      <c r="S14" s="30"/>
      <c r="T14" s="30"/>
      <c r="U14" s="30"/>
      <c r="V14" s="7" t="s">
        <v>16</v>
      </c>
      <c r="W14" s="30"/>
      <c r="X14" s="30"/>
      <c r="Y14" s="30"/>
      <c r="Z14" s="30"/>
      <c r="AA14" s="30"/>
      <c r="AB14" s="30"/>
      <c r="AC14" s="7" t="s">
        <v>47</v>
      </c>
      <c r="AD14" s="30"/>
      <c r="AE14" s="30"/>
      <c r="AF14" s="30"/>
      <c r="AG14" s="30"/>
    </row>
    <row r="15" spans="1:33">
      <c r="A15" s="74">
        <v>4.93</v>
      </c>
      <c r="B15" s="74"/>
      <c r="C15" s="30"/>
      <c r="D15" s="30"/>
      <c r="E15" s="74">
        <v>18</v>
      </c>
      <c r="F15" s="74"/>
      <c r="G15" s="36">
        <v>3.125E-2</v>
      </c>
      <c r="H15" s="32">
        <f>(E15/60)*10</f>
        <v>3</v>
      </c>
      <c r="I15" s="33">
        <f>(E15/60)*15</f>
        <v>4.5</v>
      </c>
      <c r="J15" s="21"/>
      <c r="K15" s="72">
        <v>10</v>
      </c>
      <c r="L15" s="72"/>
      <c r="M15" s="30"/>
      <c r="N15" s="30"/>
      <c r="O15" s="30"/>
      <c r="P15" s="30"/>
      <c r="Q15" s="48">
        <f>0.2+T15</f>
        <v>1.3868131868131868</v>
      </c>
      <c r="R15" s="48"/>
      <c r="S15" s="49"/>
      <c r="T15" s="14">
        <f>2160/AF13</f>
        <v>1.1868131868131868</v>
      </c>
      <c r="U15" s="14"/>
      <c r="V15" s="47">
        <v>0.33333333333333331</v>
      </c>
      <c r="W15" s="47"/>
      <c r="X15" s="29" t="s">
        <v>10</v>
      </c>
      <c r="Y15" s="47">
        <v>0.75</v>
      </c>
      <c r="Z15" s="47"/>
      <c r="AA15" s="30"/>
      <c r="AB15" s="30"/>
      <c r="AC15" s="71">
        <f>Y15-V15</f>
        <v>0.41666666666666669</v>
      </c>
      <c r="AD15" s="71"/>
      <c r="AE15" s="54">
        <f>(HOUR($AC$15)*60+MINUTE($AC$15))*Y5</f>
        <v>600</v>
      </c>
      <c r="AF15" s="55"/>
      <c r="AG15" s="21"/>
    </row>
    <row r="16" spans="1:33">
      <c r="A16" s="7" t="s">
        <v>14</v>
      </c>
      <c r="B16" s="7"/>
      <c r="C16" s="7"/>
      <c r="D16" s="30"/>
      <c r="E16" s="76" t="s">
        <v>58</v>
      </c>
      <c r="F16" s="77"/>
      <c r="G16" s="77"/>
      <c r="H16" s="77"/>
      <c r="I16" s="77"/>
      <c r="J16" s="30"/>
      <c r="K16" s="7" t="s">
        <v>31</v>
      </c>
      <c r="L16" s="30"/>
      <c r="M16" s="30"/>
      <c r="N16" s="30"/>
      <c r="O16" s="30"/>
      <c r="P16" s="30"/>
      <c r="Q16" s="7" t="s">
        <v>32</v>
      </c>
      <c r="R16" s="30"/>
      <c r="S16" s="30"/>
      <c r="T16" s="30"/>
      <c r="U16" s="30"/>
      <c r="V16" s="30"/>
      <c r="W16" s="30"/>
      <c r="X16" s="30"/>
      <c r="Y16" s="30"/>
      <c r="Z16" s="30"/>
      <c r="AA16" s="30"/>
      <c r="AB16" s="30"/>
      <c r="AC16" s="30"/>
      <c r="AD16" s="30"/>
      <c r="AE16" s="12"/>
      <c r="AF16" s="81"/>
      <c r="AG16" s="59"/>
    </row>
    <row r="17" spans="1:33">
      <c r="A17" s="74">
        <v>15</v>
      </c>
      <c r="B17" s="74"/>
      <c r="C17" s="30"/>
      <c r="D17" s="30"/>
      <c r="E17" s="77"/>
      <c r="F17" s="77"/>
      <c r="G17" s="77"/>
      <c r="H17" s="77"/>
      <c r="I17" s="77"/>
      <c r="J17" s="30"/>
      <c r="K17" s="85">
        <v>1000</v>
      </c>
      <c r="L17" s="85"/>
      <c r="M17" s="86" t="s">
        <v>20</v>
      </c>
      <c r="N17" s="86"/>
      <c r="O17" s="30"/>
      <c r="P17" s="30"/>
      <c r="Q17" s="13">
        <v>0.5</v>
      </c>
      <c r="R17" s="48" t="s">
        <v>20</v>
      </c>
      <c r="S17" s="49"/>
      <c r="T17" s="30"/>
      <c r="U17" s="30"/>
      <c r="V17" s="27" t="s">
        <v>57</v>
      </c>
      <c r="W17" s="30"/>
      <c r="X17" s="30"/>
      <c r="Y17" s="30"/>
      <c r="Z17" s="30"/>
      <c r="AA17" s="30"/>
      <c r="AB17" s="30"/>
      <c r="AC17" s="78" t="s">
        <v>48</v>
      </c>
      <c r="AD17" s="79"/>
      <c r="AE17" s="79"/>
      <c r="AF17" s="79"/>
      <c r="AG17" s="80"/>
    </row>
    <row r="18" spans="1:33" ht="15" customHeight="1">
      <c r="A18" s="30"/>
      <c r="B18" s="30"/>
      <c r="C18" s="30"/>
      <c r="D18" s="30"/>
      <c r="E18" s="77"/>
      <c r="F18" s="77"/>
      <c r="G18" s="77"/>
      <c r="H18" s="77"/>
      <c r="I18" s="77"/>
      <c r="J18" s="30"/>
      <c r="K18" s="30"/>
      <c r="L18" s="30"/>
      <c r="M18" s="30"/>
      <c r="N18" s="30"/>
      <c r="O18" s="30"/>
      <c r="P18" s="30"/>
      <c r="Q18" s="30"/>
      <c r="R18" s="30"/>
      <c r="S18" s="30"/>
      <c r="T18" s="30"/>
      <c r="U18" s="30"/>
      <c r="V18" s="94">
        <v>2.0833333333333332E-2</v>
      </c>
      <c r="W18" s="94"/>
      <c r="X18" s="87">
        <f>(AE13*V18)</f>
        <v>0.14362373737373735</v>
      </c>
      <c r="Y18" s="88"/>
      <c r="Z18" s="14"/>
      <c r="AA18" s="11">
        <f>IF(X19&gt;AE15,1,0)</f>
        <v>0</v>
      </c>
      <c r="AB18" s="14"/>
      <c r="AC18" s="82">
        <f>($AC$13*35)*2/$Y$13</f>
        <v>6.8939393939393936</v>
      </c>
      <c r="AD18" s="82"/>
      <c r="AE18" s="83"/>
      <c r="AF18" s="84"/>
      <c r="AG18" s="21"/>
    </row>
    <row r="19" spans="1:33">
      <c r="A19" s="30"/>
      <c r="B19" s="30"/>
      <c r="C19" s="30"/>
      <c r="D19" s="30"/>
      <c r="E19" s="30"/>
      <c r="F19" s="30"/>
      <c r="G19" s="30"/>
      <c r="H19" s="30"/>
      <c r="I19" s="30"/>
      <c r="J19" s="30"/>
      <c r="K19" s="30"/>
      <c r="L19" s="30"/>
      <c r="M19" s="30"/>
      <c r="N19" s="30"/>
      <c r="O19" s="30"/>
      <c r="P19" s="30"/>
      <c r="Q19" s="30"/>
      <c r="R19" s="30"/>
      <c r="S19" s="30"/>
      <c r="T19" s="30"/>
      <c r="U19" s="30"/>
      <c r="V19" s="21"/>
      <c r="W19" s="21"/>
      <c r="X19" s="52">
        <f>HOUR($X$18)*60+MINUTE($X$18)</f>
        <v>206</v>
      </c>
      <c r="Y19" s="56"/>
      <c r="Z19" s="14"/>
      <c r="AA19" s="14"/>
      <c r="AB19" s="14"/>
      <c r="AC19" s="21"/>
      <c r="AD19" s="21"/>
      <c r="AE19" s="21"/>
      <c r="AF19" s="21"/>
      <c r="AG19" s="21"/>
    </row>
    <row r="20" spans="1:33" ht="15">
      <c r="A20" s="41" t="s">
        <v>30</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row>
    <row r="21" spans="1:33">
      <c r="A21" s="30"/>
      <c r="B21" s="30"/>
      <c r="C21" s="30"/>
      <c r="D21" s="30"/>
      <c r="E21" s="30"/>
      <c r="F21" s="30"/>
      <c r="G21" s="30"/>
      <c r="H21" s="30"/>
      <c r="I21" s="30"/>
      <c r="J21" s="30"/>
      <c r="K21" s="30"/>
      <c r="L21" s="95">
        <f>L24+L25+L26+L27</f>
        <v>1200.848</v>
      </c>
      <c r="M21" s="88"/>
      <c r="N21" s="88"/>
      <c r="O21" s="88"/>
      <c r="P21" s="30"/>
      <c r="Q21" s="30"/>
      <c r="R21" s="30"/>
      <c r="S21" s="30"/>
      <c r="T21" s="30"/>
      <c r="U21" s="30"/>
      <c r="V21" s="30"/>
      <c r="W21" s="30"/>
      <c r="X21" s="30"/>
      <c r="Y21" s="30"/>
      <c r="Z21" s="30"/>
      <c r="AA21" s="30"/>
      <c r="AB21" s="30"/>
      <c r="AC21" s="30"/>
      <c r="AD21" s="30"/>
      <c r="AE21" s="30"/>
      <c r="AF21" s="30"/>
      <c r="AG21" s="30"/>
    </row>
    <row r="22" spans="1:33">
      <c r="A22" s="30"/>
      <c r="B22" s="30"/>
      <c r="C22" s="30"/>
      <c r="D22" s="30"/>
      <c r="E22" s="30"/>
      <c r="F22" s="30"/>
      <c r="G22" s="16" t="s">
        <v>38</v>
      </c>
      <c r="H22" s="30"/>
      <c r="I22" s="30"/>
      <c r="J22" s="30"/>
      <c r="K22" s="30"/>
      <c r="L22" s="16" t="s">
        <v>39</v>
      </c>
      <c r="M22" s="30"/>
      <c r="N22" s="30"/>
      <c r="O22" s="30"/>
      <c r="P22" s="30"/>
      <c r="Q22" s="16" t="s">
        <v>40</v>
      </c>
      <c r="R22" s="30"/>
      <c r="S22" s="30"/>
      <c r="T22" s="30"/>
      <c r="V22" s="30"/>
      <c r="W22" s="30"/>
      <c r="X22" s="30"/>
      <c r="Y22" s="16"/>
      <c r="Z22" s="30"/>
      <c r="AA22" s="30"/>
      <c r="AB22" s="30"/>
      <c r="AC22" s="30"/>
      <c r="AD22" s="30"/>
      <c r="AE22" s="30"/>
      <c r="AF22" s="30"/>
      <c r="AG22" s="30"/>
    </row>
    <row r="23" spans="1:33">
      <c r="A23" s="90" t="s">
        <v>61</v>
      </c>
      <c r="B23" s="91"/>
      <c r="C23" s="91"/>
      <c r="D23" s="91"/>
      <c r="E23" s="91"/>
      <c r="F23" s="30"/>
      <c r="G23" s="58">
        <f>Q23/AF13</f>
        <v>4.0961538461538458</v>
      </c>
      <c r="H23" s="59"/>
      <c r="I23" s="59"/>
      <c r="J23" s="59"/>
      <c r="K23" s="30"/>
      <c r="L23" s="58">
        <f>Q23/12</f>
        <v>621.25</v>
      </c>
      <c r="M23" s="59"/>
      <c r="N23" s="59"/>
      <c r="O23" s="59"/>
      <c r="P23" s="30"/>
      <c r="Q23" s="58">
        <f>((Y7*Y5)/8)</f>
        <v>7455</v>
      </c>
      <c r="R23" s="59"/>
      <c r="S23" s="59"/>
      <c r="T23" s="59"/>
      <c r="U23" s="30"/>
      <c r="V23" s="30"/>
      <c r="W23" s="30"/>
      <c r="X23" s="30"/>
      <c r="Y23" s="30"/>
      <c r="Z23" s="30"/>
      <c r="AA23" s="30"/>
      <c r="AB23" s="30"/>
      <c r="AC23" s="57"/>
      <c r="AD23" s="45"/>
      <c r="AE23" s="45"/>
      <c r="AF23" s="45"/>
      <c r="AG23" s="30"/>
    </row>
    <row r="24" spans="1:33">
      <c r="A24" s="92" t="s">
        <v>35</v>
      </c>
      <c r="B24" s="61"/>
      <c r="C24" s="61"/>
      <c r="D24" s="61"/>
      <c r="E24" s="61"/>
      <c r="F24" s="30"/>
      <c r="G24" s="60">
        <f>Q24/AF13</f>
        <v>0.18890109890109891</v>
      </c>
      <c r="H24" s="61"/>
      <c r="I24" s="61"/>
      <c r="J24" s="61"/>
      <c r="K24" s="30"/>
      <c r="L24" s="60">
        <f>Q24/12</f>
        <v>28.650000000000002</v>
      </c>
      <c r="M24" s="61"/>
      <c r="N24" s="61"/>
      <c r="O24" s="61"/>
      <c r="P24" s="30"/>
      <c r="Q24" s="60">
        <f>(($K17*Y5)+($Q17*$AF13))*$A13</f>
        <v>343.8</v>
      </c>
      <c r="R24" s="61"/>
      <c r="S24" s="61"/>
      <c r="T24" s="61"/>
      <c r="U24" s="30"/>
      <c r="V24" s="30"/>
      <c r="W24" s="30"/>
      <c r="X24" s="30"/>
      <c r="Y24" s="30"/>
      <c r="Z24" s="30"/>
      <c r="AA24" s="30"/>
      <c r="AB24" s="30"/>
      <c r="AC24" s="57"/>
      <c r="AD24" s="45"/>
      <c r="AE24" s="45"/>
      <c r="AF24" s="45"/>
      <c r="AG24" s="30"/>
    </row>
    <row r="25" spans="1:33">
      <c r="A25" s="90" t="s">
        <v>36</v>
      </c>
      <c r="B25" s="91"/>
      <c r="C25" s="91"/>
      <c r="D25" s="91"/>
      <c r="E25" s="91"/>
      <c r="F25" s="30"/>
      <c r="G25" s="58">
        <f>Q25/AF13</f>
        <v>2.493613186813187</v>
      </c>
      <c r="H25" s="59"/>
      <c r="I25" s="59"/>
      <c r="J25" s="59"/>
      <c r="K25" s="30"/>
      <c r="L25" s="58">
        <f>Q25/12</f>
        <v>378.19800000000004</v>
      </c>
      <c r="M25" s="59"/>
      <c r="N25" s="59"/>
      <c r="O25" s="59"/>
      <c r="P25" s="30"/>
      <c r="Q25" s="58">
        <f>((($A$15/1000)*($K$15*Y5))*$AF$13)+(($Q$15*Y5)*$AF$13)+((($M$13*Y5)*$AA$5)*$AF$13)</f>
        <v>4538.3760000000002</v>
      </c>
      <c r="R25" s="59"/>
      <c r="S25" s="59"/>
      <c r="T25" s="59"/>
      <c r="U25" s="30"/>
      <c r="V25" s="30"/>
      <c r="W25" s="30"/>
      <c r="X25" s="30"/>
      <c r="Y25" s="30"/>
      <c r="Z25" s="30"/>
      <c r="AA25" s="30"/>
      <c r="AB25" s="30"/>
      <c r="AC25" s="57"/>
      <c r="AD25" s="45"/>
      <c r="AE25" s="45"/>
      <c r="AF25" s="45"/>
      <c r="AG25" s="30"/>
    </row>
    <row r="26" spans="1:33">
      <c r="A26" s="92" t="s">
        <v>37</v>
      </c>
      <c r="B26" s="61"/>
      <c r="C26" s="61"/>
      <c r="D26" s="61"/>
      <c r="E26" s="61"/>
      <c r="F26" s="30"/>
      <c r="G26" s="60">
        <f>Q26/AF13</f>
        <v>1.5824175824175823</v>
      </c>
      <c r="H26" s="61"/>
      <c r="I26" s="61"/>
      <c r="J26" s="61"/>
      <c r="K26" s="30"/>
      <c r="L26" s="60">
        <f>A17*E13</f>
        <v>240</v>
      </c>
      <c r="M26" s="61"/>
      <c r="N26" s="61"/>
      <c r="O26" s="61"/>
      <c r="P26" s="30"/>
      <c r="Q26" s="60">
        <f>L26*12</f>
        <v>2880</v>
      </c>
      <c r="R26" s="61"/>
      <c r="S26" s="61"/>
      <c r="T26" s="61"/>
      <c r="U26" s="30"/>
      <c r="V26" s="30"/>
      <c r="W26" s="30"/>
      <c r="X26" s="30"/>
      <c r="Y26" s="30"/>
      <c r="Z26" s="30"/>
      <c r="AA26" s="30"/>
      <c r="AB26" s="30"/>
      <c r="AC26" s="45"/>
      <c r="AD26" s="45"/>
      <c r="AE26" s="45"/>
      <c r="AF26" s="45"/>
      <c r="AG26" s="30"/>
    </row>
    <row r="27" spans="1:33">
      <c r="A27" s="90" t="s">
        <v>34</v>
      </c>
      <c r="B27" s="91"/>
      <c r="C27" s="91"/>
      <c r="D27" s="91"/>
      <c r="E27" s="91"/>
      <c r="F27" s="30"/>
      <c r="G27" s="58">
        <f>Q27/AF13</f>
        <v>3.6527472527472526</v>
      </c>
      <c r="H27" s="59"/>
      <c r="I27" s="59"/>
      <c r="J27" s="59"/>
      <c r="K27" s="30"/>
      <c r="L27" s="58">
        <f>Q27/12</f>
        <v>554</v>
      </c>
      <c r="M27" s="59"/>
      <c r="N27" s="59"/>
      <c r="O27" s="59"/>
      <c r="P27" s="30"/>
      <c r="Q27" s="58">
        <f>(H15*$AF13)+(I15*Y13)</f>
        <v>6648</v>
      </c>
      <c r="R27" s="59"/>
      <c r="S27" s="59"/>
      <c r="T27" s="59"/>
      <c r="U27" s="30"/>
      <c r="V27" s="30"/>
      <c r="W27" s="30"/>
      <c r="X27" s="30"/>
      <c r="Y27" s="30"/>
      <c r="Z27" s="30"/>
      <c r="AA27" s="30"/>
      <c r="AB27" s="30"/>
      <c r="AC27" s="57"/>
      <c r="AD27" s="45"/>
      <c r="AE27" s="45"/>
      <c r="AF27" s="45"/>
      <c r="AG27" s="30"/>
    </row>
    <row r="28" spans="1:33">
      <c r="A28" s="92" t="s">
        <v>8</v>
      </c>
      <c r="B28" s="61"/>
      <c r="C28" s="61"/>
      <c r="D28" s="61"/>
      <c r="E28" s="61"/>
      <c r="F28" s="30"/>
      <c r="G28" s="60">
        <f>G23+G24+G25+G26+G27</f>
        <v>12.013832967032966</v>
      </c>
      <c r="H28" s="61"/>
      <c r="I28" s="61"/>
      <c r="J28" s="61"/>
      <c r="K28" s="30"/>
      <c r="L28" s="60">
        <f>L23+L24+L25+L26+L27</f>
        <v>1822.098</v>
      </c>
      <c r="M28" s="61"/>
      <c r="N28" s="61"/>
      <c r="O28" s="61"/>
      <c r="P28" s="30"/>
      <c r="Q28" s="60">
        <f>Q23+Q24+Q25+Q26+Q27</f>
        <v>21865.175999999999</v>
      </c>
      <c r="R28" s="61"/>
      <c r="S28" s="61"/>
      <c r="T28" s="61"/>
      <c r="U28" s="30"/>
      <c r="V28" s="30"/>
      <c r="W28" s="30"/>
      <c r="X28" s="30"/>
      <c r="Y28" s="30"/>
      <c r="Z28" s="30"/>
      <c r="AA28" s="30"/>
      <c r="AB28" s="30"/>
      <c r="AC28" s="45"/>
      <c r="AD28" s="45"/>
      <c r="AE28" s="45"/>
      <c r="AF28" s="45"/>
      <c r="AG28" s="30"/>
    </row>
    <row r="29" spans="1:33" ht="7" customHeight="1">
      <c r="A29" s="26"/>
      <c r="B29" s="26"/>
      <c r="C29" s="26"/>
      <c r="D29" s="26"/>
      <c r="E29" s="26"/>
      <c r="F29" s="30"/>
      <c r="G29" s="24"/>
      <c r="H29" s="24"/>
      <c r="I29" s="24"/>
      <c r="J29" s="26"/>
      <c r="K29" s="30"/>
      <c r="L29" s="24"/>
      <c r="M29" s="24"/>
      <c r="N29" s="24"/>
      <c r="O29" s="26"/>
      <c r="P29" s="30"/>
      <c r="Q29" s="24"/>
      <c r="R29" s="26"/>
      <c r="S29" s="26"/>
      <c r="T29" s="26"/>
      <c r="U29" s="30"/>
      <c r="V29" s="30"/>
      <c r="W29" s="30"/>
      <c r="X29" s="30"/>
      <c r="Y29" s="30"/>
      <c r="Z29" s="30"/>
      <c r="AA29" s="30"/>
      <c r="AB29" s="30"/>
      <c r="AC29" s="45"/>
      <c r="AD29" s="45"/>
      <c r="AE29" s="45"/>
      <c r="AF29" s="45"/>
      <c r="AG29" s="30"/>
    </row>
    <row r="30" spans="1:33">
      <c r="A30" s="25" t="s">
        <v>28</v>
      </c>
      <c r="B30" s="26"/>
      <c r="C30" s="26"/>
      <c r="D30" s="89">
        <v>39.5</v>
      </c>
      <c r="E30" s="89"/>
      <c r="F30" s="30"/>
      <c r="G30" s="58">
        <f>D30</f>
        <v>39.5</v>
      </c>
      <c r="H30" s="59"/>
      <c r="I30" s="59"/>
      <c r="J30" s="59"/>
      <c r="K30" s="30"/>
      <c r="L30" s="58">
        <f>Q30/12</f>
        <v>5990.833333333333</v>
      </c>
      <c r="M30" s="59"/>
      <c r="N30" s="59"/>
      <c r="O30" s="59"/>
      <c r="P30" s="30"/>
      <c r="Q30" s="58">
        <f>D30*AF13</f>
        <v>71890</v>
      </c>
      <c r="R30" s="59"/>
      <c r="S30" s="59"/>
      <c r="T30" s="59"/>
      <c r="U30" s="30"/>
      <c r="V30" s="30"/>
      <c r="W30" s="30"/>
      <c r="X30" s="30"/>
      <c r="Y30" s="30"/>
      <c r="Z30" s="30"/>
      <c r="AA30" s="30"/>
      <c r="AB30" s="30"/>
      <c r="AC30" s="45"/>
      <c r="AD30" s="45"/>
      <c r="AE30" s="45"/>
      <c r="AF30" s="45"/>
      <c r="AG30" s="30"/>
    </row>
    <row r="31" spans="1:33" ht="7" customHeight="1">
      <c r="A31" s="30"/>
      <c r="B31" s="30"/>
      <c r="C31" s="30"/>
      <c r="D31" s="30"/>
      <c r="E31" s="30"/>
      <c r="F31" s="30"/>
      <c r="G31" s="31"/>
      <c r="H31" s="31"/>
      <c r="I31" s="31"/>
      <c r="J31" s="30"/>
      <c r="K31" s="30"/>
      <c r="L31" s="31"/>
      <c r="M31" s="31"/>
      <c r="N31" s="31"/>
      <c r="O31" s="30"/>
      <c r="P31" s="30"/>
      <c r="Q31" s="31"/>
      <c r="R31" s="30"/>
      <c r="S31" s="30"/>
      <c r="T31" s="30"/>
      <c r="U31" s="30"/>
      <c r="V31" s="30"/>
      <c r="W31" s="30"/>
      <c r="X31" s="30"/>
      <c r="Y31" s="30"/>
      <c r="Z31" s="30"/>
      <c r="AA31" s="30"/>
      <c r="AB31" s="30"/>
      <c r="AC31" s="30"/>
      <c r="AD31" s="30"/>
      <c r="AE31" s="30"/>
      <c r="AF31" s="30"/>
      <c r="AG31" s="30"/>
    </row>
    <row r="32" spans="1:33">
      <c r="A32" s="90" t="s">
        <v>29</v>
      </c>
      <c r="B32" s="91"/>
      <c r="C32" s="91"/>
      <c r="D32" s="91"/>
      <c r="E32" s="91"/>
      <c r="F32" s="30"/>
      <c r="G32" s="58">
        <f>G30-G28</f>
        <v>27.486167032967032</v>
      </c>
      <c r="H32" s="59"/>
      <c r="I32" s="59"/>
      <c r="J32" s="59"/>
      <c r="K32" s="30"/>
      <c r="L32" s="58">
        <f>L30-L28</f>
        <v>4168.7353333333331</v>
      </c>
      <c r="M32" s="59"/>
      <c r="N32" s="59"/>
      <c r="O32" s="59"/>
      <c r="P32" s="30"/>
      <c r="Q32" s="58">
        <f>Q30-Q28</f>
        <v>50024.824000000001</v>
      </c>
      <c r="R32" s="59"/>
      <c r="S32" s="59"/>
      <c r="T32" s="59"/>
      <c r="U32" s="30"/>
      <c r="V32" s="30"/>
      <c r="W32" s="30"/>
      <c r="X32" s="30"/>
      <c r="Y32" s="30"/>
      <c r="Z32" s="30"/>
      <c r="AA32" s="30"/>
      <c r="AB32" s="30"/>
      <c r="AC32" s="30"/>
      <c r="AD32" s="30"/>
      <c r="AE32" s="30"/>
      <c r="AF32" s="30"/>
      <c r="AG32" s="30"/>
    </row>
    <row r="33" spans="1:33">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row>
    <row r="34" spans="1:33">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row>
    <row r="35" spans="1:33">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17">
        <v>1.3888888888888888E-2</v>
      </c>
      <c r="AG35" s="17">
        <v>0.29166666666666669</v>
      </c>
    </row>
    <row r="36" spans="1:33">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17">
        <v>1.7361111111111112E-2</v>
      </c>
      <c r="AG36" s="17">
        <v>0.3125</v>
      </c>
    </row>
    <row r="37" spans="1:33">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21"/>
      <c r="AD37" s="21"/>
      <c r="AE37" s="21"/>
      <c r="AF37" s="34"/>
      <c r="AG37" s="34"/>
    </row>
    <row r="38" spans="1:33">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21"/>
      <c r="AD38" s="21"/>
      <c r="AE38" s="21"/>
      <c r="AF38" s="17">
        <v>2.0833333333333332E-2</v>
      </c>
      <c r="AG38" s="17">
        <v>0.29166666666666669</v>
      </c>
    </row>
    <row r="39" spans="1:33" ht="20">
      <c r="B39" s="39" t="s">
        <v>56</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14"/>
      <c r="AG39" s="17">
        <v>0.3125</v>
      </c>
    </row>
    <row r="40" spans="1:33">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21"/>
      <c r="AD40" s="21"/>
      <c r="AE40" s="21"/>
      <c r="AF40" s="14"/>
      <c r="AG40" s="17">
        <v>0.33333333333333331</v>
      </c>
    </row>
    <row r="41" spans="1:33">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21"/>
      <c r="AD41" s="21"/>
      <c r="AE41" s="21"/>
      <c r="AF41" s="17">
        <v>1.3888888888888888E-2</v>
      </c>
      <c r="AG41" s="17">
        <v>0.35416666666666669</v>
      </c>
    </row>
    <row r="42" spans="1:33">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21"/>
      <c r="AD42" s="21"/>
      <c r="AE42" s="21"/>
      <c r="AF42" s="17">
        <v>1.7361111111111112E-2</v>
      </c>
      <c r="AG42" s="17">
        <v>0.375</v>
      </c>
    </row>
    <row r="43" spans="1:33">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21"/>
      <c r="AD43" s="21"/>
      <c r="AE43" s="21"/>
      <c r="AF43" s="17">
        <v>2.0833333333333332E-2</v>
      </c>
      <c r="AG43" s="17">
        <v>0.39583333333333331</v>
      </c>
    </row>
    <row r="44" spans="1:33">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21"/>
      <c r="AD44" s="21"/>
      <c r="AE44" s="21"/>
      <c r="AF44" s="17">
        <v>2.4305555555555556E-2</v>
      </c>
      <c r="AG44" s="17">
        <v>0.41666666666666702</v>
      </c>
    </row>
    <row r="45" spans="1:33">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21"/>
      <c r="AD45" s="21"/>
      <c r="AE45" s="21"/>
      <c r="AF45" s="17">
        <v>2.7777777777777776E-2</v>
      </c>
      <c r="AG45" s="17">
        <v>0.4375</v>
      </c>
    </row>
    <row r="46" spans="1:33">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21"/>
      <c r="AD46" s="21"/>
      <c r="AE46" s="21"/>
      <c r="AF46" s="17">
        <v>3.125E-2</v>
      </c>
      <c r="AG46" s="17">
        <v>0.45833333333333298</v>
      </c>
    </row>
    <row r="47" spans="1:33">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21"/>
      <c r="AD47" s="21"/>
      <c r="AE47" s="21"/>
      <c r="AF47" s="17">
        <v>3.4722222222222224E-2</v>
      </c>
      <c r="AG47" s="17">
        <v>0.47916666666666669</v>
      </c>
    </row>
    <row r="48" spans="1:33">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21"/>
      <c r="AD48" s="21"/>
      <c r="AE48" s="21"/>
      <c r="AF48" s="17">
        <v>3.8194444444444441E-2</v>
      </c>
      <c r="AG48" s="17">
        <v>0.5</v>
      </c>
    </row>
    <row r="49" spans="1:33">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21"/>
      <c r="AD49" s="21"/>
      <c r="AE49" s="21"/>
      <c r="AF49" s="17">
        <v>4.1666666666666664E-2</v>
      </c>
      <c r="AG49" s="17">
        <v>0.52083333333333337</v>
      </c>
    </row>
    <row r="50" spans="1:33">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21"/>
      <c r="AD50" s="21"/>
      <c r="AE50" s="21"/>
      <c r="AF50" s="17">
        <v>4.5138888888888888E-2</v>
      </c>
      <c r="AG50" s="17">
        <v>0.54166666666666696</v>
      </c>
    </row>
    <row r="51" spans="1:33">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21"/>
      <c r="AD51" s="21"/>
      <c r="AE51" s="21"/>
      <c r="AF51" s="17">
        <v>4.8611111111111112E-2</v>
      </c>
      <c r="AG51" s="17">
        <v>0.5625</v>
      </c>
    </row>
    <row r="52" spans="1:33">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21"/>
      <c r="AD52" s="21"/>
      <c r="AE52" s="21"/>
      <c r="AF52" s="17">
        <v>5.2083333333333336E-2</v>
      </c>
      <c r="AG52" s="17">
        <v>0.58333333333333304</v>
      </c>
    </row>
    <row r="53" spans="1:33">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21"/>
      <c r="AD53" s="21"/>
      <c r="AE53" s="21"/>
      <c r="AF53" s="17">
        <v>5.5555555555555552E-2</v>
      </c>
      <c r="AG53" s="17">
        <v>0.60416666666666663</v>
      </c>
    </row>
    <row r="54" spans="1:33">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21"/>
      <c r="AD54" s="21"/>
      <c r="AE54" s="21"/>
      <c r="AF54" s="17">
        <v>5.9027777777777783E-2</v>
      </c>
      <c r="AG54" s="17">
        <v>0.625</v>
      </c>
    </row>
    <row r="55" spans="1:33">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21"/>
      <c r="AD55" s="21"/>
      <c r="AE55" s="21"/>
      <c r="AF55" s="17">
        <v>6.25E-2</v>
      </c>
      <c r="AG55" s="17">
        <v>0.64583333333333337</v>
      </c>
    </row>
    <row r="56" spans="1:33">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21"/>
      <c r="AD56" s="21"/>
      <c r="AE56" s="21"/>
      <c r="AF56" s="18"/>
      <c r="AG56" s="17">
        <v>0.66666666666666696</v>
      </c>
    </row>
    <row r="57" spans="1:33">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21"/>
      <c r="AD57" s="21"/>
      <c r="AE57" s="21"/>
      <c r="AF57" s="18"/>
      <c r="AG57" s="17">
        <v>0.6875</v>
      </c>
    </row>
    <row r="58" spans="1:33">
      <c r="A58" s="3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18"/>
      <c r="AG58" s="17">
        <v>0.70833333333333304</v>
      </c>
    </row>
    <row r="59" spans="1:33" s="22" customFormat="1" ht="10">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35"/>
      <c r="AF59" s="18"/>
      <c r="AG59" s="17">
        <v>0.72916666666666663</v>
      </c>
    </row>
    <row r="60" spans="1:33" s="22" customFormat="1" ht="10">
      <c r="A60" s="18"/>
      <c r="B60" s="18" t="s">
        <v>44</v>
      </c>
      <c r="C60" s="18">
        <v>0</v>
      </c>
      <c r="D60" s="18">
        <v>1</v>
      </c>
      <c r="E60" s="18">
        <v>2</v>
      </c>
      <c r="F60" s="18">
        <v>3</v>
      </c>
      <c r="G60" s="18">
        <v>4</v>
      </c>
      <c r="H60" s="18">
        <v>5</v>
      </c>
      <c r="I60" s="18">
        <v>6</v>
      </c>
      <c r="J60" s="18">
        <v>7</v>
      </c>
      <c r="K60" s="18">
        <v>8</v>
      </c>
      <c r="L60" s="18">
        <v>9</v>
      </c>
      <c r="M60" s="18">
        <v>10</v>
      </c>
      <c r="N60" s="18">
        <v>11</v>
      </c>
      <c r="O60" s="18">
        <v>12</v>
      </c>
      <c r="P60" s="18">
        <v>13</v>
      </c>
      <c r="Q60" s="18">
        <v>14</v>
      </c>
      <c r="R60" s="18">
        <v>15</v>
      </c>
      <c r="S60" s="18">
        <v>16</v>
      </c>
      <c r="T60" s="18">
        <v>17</v>
      </c>
      <c r="U60" s="18">
        <v>18</v>
      </c>
      <c r="V60" s="18">
        <v>19</v>
      </c>
      <c r="W60" s="18">
        <v>20</v>
      </c>
      <c r="X60" s="18">
        <v>21</v>
      </c>
      <c r="Y60" s="18">
        <v>22</v>
      </c>
      <c r="Z60" s="18">
        <v>23</v>
      </c>
      <c r="AA60" s="18">
        <v>24</v>
      </c>
      <c r="AB60" s="18"/>
      <c r="AC60" s="18"/>
      <c r="AD60" s="18"/>
      <c r="AE60" s="35"/>
      <c r="AF60" s="18"/>
      <c r="AG60" s="17">
        <v>0.75</v>
      </c>
    </row>
    <row r="61" spans="1:33" s="22" customFormat="1" ht="10">
      <c r="A61" s="18"/>
      <c r="B61" s="18" t="s">
        <v>28</v>
      </c>
      <c r="C61" s="19">
        <v>0</v>
      </c>
      <c r="D61" s="19">
        <f>L30</f>
        <v>5990.833333333333</v>
      </c>
      <c r="E61" s="19">
        <f t="shared" ref="E61:AA61" si="0">$D61*E60</f>
        <v>11981.666666666666</v>
      </c>
      <c r="F61" s="19">
        <f t="shared" si="0"/>
        <v>17972.5</v>
      </c>
      <c r="G61" s="19">
        <f t="shared" si="0"/>
        <v>23963.333333333332</v>
      </c>
      <c r="H61" s="19">
        <f t="shared" si="0"/>
        <v>29954.166666666664</v>
      </c>
      <c r="I61" s="19">
        <f t="shared" si="0"/>
        <v>35945</v>
      </c>
      <c r="J61" s="19">
        <f t="shared" si="0"/>
        <v>41935.833333333328</v>
      </c>
      <c r="K61" s="19">
        <f t="shared" si="0"/>
        <v>47926.666666666664</v>
      </c>
      <c r="L61" s="19">
        <f t="shared" si="0"/>
        <v>53917.5</v>
      </c>
      <c r="M61" s="19">
        <f t="shared" si="0"/>
        <v>59908.333333333328</v>
      </c>
      <c r="N61" s="19">
        <f t="shared" si="0"/>
        <v>65899.166666666657</v>
      </c>
      <c r="O61" s="19">
        <f t="shared" si="0"/>
        <v>71890</v>
      </c>
      <c r="P61" s="19">
        <f t="shared" si="0"/>
        <v>77880.833333333328</v>
      </c>
      <c r="Q61" s="19">
        <f t="shared" si="0"/>
        <v>83871.666666666657</v>
      </c>
      <c r="R61" s="19">
        <f t="shared" si="0"/>
        <v>89862.5</v>
      </c>
      <c r="S61" s="19">
        <f t="shared" si="0"/>
        <v>95853.333333333328</v>
      </c>
      <c r="T61" s="19">
        <f t="shared" si="0"/>
        <v>101844.16666666666</v>
      </c>
      <c r="U61" s="19">
        <f t="shared" si="0"/>
        <v>107835</v>
      </c>
      <c r="V61" s="19">
        <f t="shared" si="0"/>
        <v>113825.83333333333</v>
      </c>
      <c r="W61" s="19">
        <f t="shared" si="0"/>
        <v>119816.66666666666</v>
      </c>
      <c r="X61" s="19">
        <f t="shared" si="0"/>
        <v>125807.5</v>
      </c>
      <c r="Y61" s="19">
        <f t="shared" si="0"/>
        <v>131798.33333333331</v>
      </c>
      <c r="Z61" s="19">
        <f t="shared" si="0"/>
        <v>137789.16666666666</v>
      </c>
      <c r="AA61" s="19">
        <f t="shared" si="0"/>
        <v>143780</v>
      </c>
      <c r="AB61" s="18"/>
      <c r="AC61" s="18"/>
      <c r="AD61" s="18"/>
      <c r="AE61" s="35"/>
      <c r="AF61" s="18"/>
      <c r="AG61" s="17">
        <v>0.77083333333333337</v>
      </c>
    </row>
    <row r="62" spans="1:33" s="22" customFormat="1" ht="10">
      <c r="A62" s="18"/>
      <c r="B62" s="18" t="s">
        <v>45</v>
      </c>
      <c r="C62" s="19">
        <f>Y7+Y9+L24+L26</f>
        <v>62508.65</v>
      </c>
      <c r="D62" s="19">
        <f>Y7+Y9+L21</f>
        <v>63440.847999999998</v>
      </c>
      <c r="E62" s="19">
        <f>($Y$7+$Y$9)+$L$21*E$60</f>
        <v>64641.695999999996</v>
      </c>
      <c r="F62" s="19">
        <f t="shared" ref="F62:AA62" si="1">($Y$7+$Y$9)+$L$21*F$60</f>
        <v>65842.543999999994</v>
      </c>
      <c r="G62" s="19">
        <f t="shared" si="1"/>
        <v>67043.391999999993</v>
      </c>
      <c r="H62" s="19">
        <f t="shared" si="1"/>
        <v>68244.240000000005</v>
      </c>
      <c r="I62" s="19">
        <f t="shared" si="1"/>
        <v>69445.088000000003</v>
      </c>
      <c r="J62" s="19">
        <f t="shared" si="1"/>
        <v>70645.936000000002</v>
      </c>
      <c r="K62" s="19">
        <f t="shared" si="1"/>
        <v>71846.784</v>
      </c>
      <c r="L62" s="19">
        <f t="shared" si="1"/>
        <v>73047.631999999998</v>
      </c>
      <c r="M62" s="19">
        <f t="shared" si="1"/>
        <v>74248.479999999996</v>
      </c>
      <c r="N62" s="19">
        <f t="shared" si="1"/>
        <v>75449.327999999994</v>
      </c>
      <c r="O62" s="19">
        <f t="shared" si="1"/>
        <v>76650.176000000007</v>
      </c>
      <c r="P62" s="19">
        <f t="shared" si="1"/>
        <v>77851.024000000005</v>
      </c>
      <c r="Q62" s="19">
        <f t="shared" si="1"/>
        <v>79051.872000000003</v>
      </c>
      <c r="R62" s="19">
        <f t="shared" si="1"/>
        <v>80252.72</v>
      </c>
      <c r="S62" s="19">
        <f t="shared" si="1"/>
        <v>81453.567999999999</v>
      </c>
      <c r="T62" s="19">
        <f t="shared" si="1"/>
        <v>82654.415999999997</v>
      </c>
      <c r="U62" s="19">
        <f t="shared" si="1"/>
        <v>83855.263999999996</v>
      </c>
      <c r="V62" s="19">
        <f t="shared" si="1"/>
        <v>85056.111999999994</v>
      </c>
      <c r="W62" s="19">
        <f t="shared" si="1"/>
        <v>86256.959999999992</v>
      </c>
      <c r="X62" s="19">
        <f t="shared" si="1"/>
        <v>87457.80799999999</v>
      </c>
      <c r="Y62" s="19">
        <f t="shared" si="1"/>
        <v>88658.656000000003</v>
      </c>
      <c r="Z62" s="19">
        <f t="shared" si="1"/>
        <v>89859.504000000001</v>
      </c>
      <c r="AA62" s="19">
        <f t="shared" si="1"/>
        <v>91060.351999999999</v>
      </c>
      <c r="AB62" s="18"/>
      <c r="AC62" s="18"/>
      <c r="AD62" s="18"/>
      <c r="AE62" s="35"/>
      <c r="AF62" s="18"/>
      <c r="AG62" s="17">
        <v>0.79166666666666696</v>
      </c>
    </row>
    <row r="63" spans="1:33" s="22" customFormat="1" ht="10">
      <c r="A63" s="18"/>
      <c r="B63" s="18"/>
      <c r="C63" s="19">
        <f>L28</f>
        <v>1822.098</v>
      </c>
      <c r="D63" s="19">
        <f t="shared" ref="D63:Z63" si="2">$C63*E60</f>
        <v>3644.1959999999999</v>
      </c>
      <c r="E63" s="19">
        <f t="shared" si="2"/>
        <v>5466.2939999999999</v>
      </c>
      <c r="F63" s="19">
        <f t="shared" si="2"/>
        <v>7288.3919999999998</v>
      </c>
      <c r="G63" s="19">
        <f t="shared" si="2"/>
        <v>9110.49</v>
      </c>
      <c r="H63" s="19">
        <f t="shared" si="2"/>
        <v>10932.588</v>
      </c>
      <c r="I63" s="19">
        <f t="shared" si="2"/>
        <v>12754.686</v>
      </c>
      <c r="J63" s="19">
        <f t="shared" si="2"/>
        <v>14576.784</v>
      </c>
      <c r="K63" s="19">
        <f t="shared" si="2"/>
        <v>16398.881999999998</v>
      </c>
      <c r="L63" s="19">
        <f t="shared" si="2"/>
        <v>18220.98</v>
      </c>
      <c r="M63" s="19">
        <f t="shared" si="2"/>
        <v>20043.078000000001</v>
      </c>
      <c r="N63" s="19">
        <f t="shared" si="2"/>
        <v>21865.175999999999</v>
      </c>
      <c r="O63" s="19">
        <f t="shared" si="2"/>
        <v>23687.273999999998</v>
      </c>
      <c r="P63" s="19">
        <f t="shared" si="2"/>
        <v>25509.371999999999</v>
      </c>
      <c r="Q63" s="19">
        <f t="shared" si="2"/>
        <v>27331.47</v>
      </c>
      <c r="R63" s="19">
        <f t="shared" si="2"/>
        <v>29153.567999999999</v>
      </c>
      <c r="S63" s="19">
        <f t="shared" si="2"/>
        <v>30975.665999999997</v>
      </c>
      <c r="T63" s="19">
        <f t="shared" si="2"/>
        <v>32797.763999999996</v>
      </c>
      <c r="U63" s="19">
        <f t="shared" si="2"/>
        <v>34619.862000000001</v>
      </c>
      <c r="V63" s="19">
        <f t="shared" si="2"/>
        <v>36441.96</v>
      </c>
      <c r="W63" s="19">
        <f t="shared" si="2"/>
        <v>38264.057999999997</v>
      </c>
      <c r="X63" s="19">
        <f t="shared" si="2"/>
        <v>40086.156000000003</v>
      </c>
      <c r="Y63" s="19">
        <f t="shared" si="2"/>
        <v>41908.254000000001</v>
      </c>
      <c r="Z63" s="19">
        <f t="shared" si="2"/>
        <v>43730.351999999999</v>
      </c>
      <c r="AA63" s="18"/>
      <c r="AB63" s="18"/>
      <c r="AC63" s="18"/>
      <c r="AD63" s="18"/>
      <c r="AE63" s="35"/>
      <c r="AF63" s="18"/>
      <c r="AG63" s="17">
        <v>0.8125</v>
      </c>
    </row>
    <row r="64" spans="1:3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21"/>
      <c r="AF64" s="14"/>
      <c r="AG64" s="17">
        <v>0.83333333333333304</v>
      </c>
    </row>
    <row r="65" spans="1:36">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21"/>
      <c r="AF65" s="14"/>
      <c r="AG65" s="17">
        <v>0.85416666666666663</v>
      </c>
    </row>
    <row r="66" spans="1:3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21"/>
      <c r="AF66" s="14"/>
      <c r="AG66" s="17">
        <v>0.875</v>
      </c>
    </row>
    <row r="67" spans="1:36">
      <c r="A67" s="3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14"/>
      <c r="AG67" s="17">
        <v>0.89583333333333337</v>
      </c>
    </row>
    <row r="68" spans="1:36">
      <c r="A68" s="30"/>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14"/>
      <c r="AG68" s="17">
        <v>0.91666666666666663</v>
      </c>
      <c r="AI68" s="15"/>
      <c r="AJ68" s="23"/>
    </row>
    <row r="69" spans="1:36">
      <c r="A69" s="3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14"/>
      <c r="AG69" s="14"/>
      <c r="AI69" s="23"/>
    </row>
    <row r="70" spans="1:36">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21"/>
      <c r="AD70" s="21"/>
      <c r="AE70" s="21"/>
      <c r="AF70" s="37"/>
      <c r="AG70" s="37"/>
      <c r="AI70" s="23"/>
    </row>
    <row r="71" spans="1:36">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7"/>
      <c r="AG71" s="37"/>
      <c r="AI71" s="23"/>
    </row>
  </sheetData>
  <sheetProtection selectLockedCells="1"/>
  <mergeCells count="87">
    <mergeCell ref="A1:AG1"/>
    <mergeCell ref="G28:J28"/>
    <mergeCell ref="G30:J30"/>
    <mergeCell ref="L23:O23"/>
    <mergeCell ref="A32:E32"/>
    <mergeCell ref="V18:W18"/>
    <mergeCell ref="L21:O21"/>
    <mergeCell ref="G32:J32"/>
    <mergeCell ref="L24:O24"/>
    <mergeCell ref="L25:O25"/>
    <mergeCell ref="L26:O26"/>
    <mergeCell ref="L27:O27"/>
    <mergeCell ref="G23:J23"/>
    <mergeCell ref="G24:J24"/>
    <mergeCell ref="G25:J25"/>
    <mergeCell ref="G26:J26"/>
    <mergeCell ref="G27:J27"/>
    <mergeCell ref="D30:E30"/>
    <mergeCell ref="A23:E23"/>
    <mergeCell ref="A24:E24"/>
    <mergeCell ref="A25:E25"/>
    <mergeCell ref="A26:E26"/>
    <mergeCell ref="A27:E27"/>
    <mergeCell ref="A28:E28"/>
    <mergeCell ref="E15:F15"/>
    <mergeCell ref="E13:F13"/>
    <mergeCell ref="E16:I18"/>
    <mergeCell ref="AC17:AG17"/>
    <mergeCell ref="AF16:AG16"/>
    <mergeCell ref="AC18:AD18"/>
    <mergeCell ref="AE18:AF18"/>
    <mergeCell ref="K17:L17"/>
    <mergeCell ref="M17:N17"/>
    <mergeCell ref="X18:Y18"/>
    <mergeCell ref="A11:I11"/>
    <mergeCell ref="V11:AG11"/>
    <mergeCell ref="A20:AG20"/>
    <mergeCell ref="A5:P5"/>
    <mergeCell ref="A3:W3"/>
    <mergeCell ref="AC13:AD13"/>
    <mergeCell ref="AC15:AD15"/>
    <mergeCell ref="K15:L15"/>
    <mergeCell ref="M13:N13"/>
    <mergeCell ref="A17:B17"/>
    <mergeCell ref="K11:T11"/>
    <mergeCell ref="AA5:AB5"/>
    <mergeCell ref="R17:S17"/>
    <mergeCell ref="A13:B13"/>
    <mergeCell ref="A15:B15"/>
    <mergeCell ref="A9:P9"/>
    <mergeCell ref="A7:P7"/>
    <mergeCell ref="S7:W7"/>
    <mergeCell ref="S9:W9"/>
    <mergeCell ref="Y7:AC7"/>
    <mergeCell ref="Y9:AC9"/>
    <mergeCell ref="L30:O30"/>
    <mergeCell ref="L32:O32"/>
    <mergeCell ref="Q23:T23"/>
    <mergeCell ref="Q24:T24"/>
    <mergeCell ref="Q25:T25"/>
    <mergeCell ref="Q26:T26"/>
    <mergeCell ref="Q27:T27"/>
    <mergeCell ref="Q28:T28"/>
    <mergeCell ref="Q30:T30"/>
    <mergeCell ref="Q32:T32"/>
    <mergeCell ref="L28:O28"/>
    <mergeCell ref="AC23:AF23"/>
    <mergeCell ref="AC24:AF24"/>
    <mergeCell ref="AC25:AF25"/>
    <mergeCell ref="AC26:AF26"/>
    <mergeCell ref="AC27:AF27"/>
    <mergeCell ref="B39:AE39"/>
    <mergeCell ref="Y3:AG3"/>
    <mergeCell ref="AD5:AG5"/>
    <mergeCell ref="S5:W5"/>
    <mergeCell ref="AC28:AF28"/>
    <mergeCell ref="AC29:AF29"/>
    <mergeCell ref="V13:W13"/>
    <mergeCell ref="V15:W15"/>
    <mergeCell ref="Q15:S15"/>
    <mergeCell ref="Q13:S13"/>
    <mergeCell ref="AF13:AG13"/>
    <mergeCell ref="Y15:Z15"/>
    <mergeCell ref="Y13:Z13"/>
    <mergeCell ref="AE15:AF15"/>
    <mergeCell ref="X19:Y19"/>
    <mergeCell ref="AC30:AF30"/>
  </mergeCells>
  <conditionalFormatting sqref="AC18:AD18">
    <cfRule type="expression" dxfId="0" priority="1">
      <formula>$AA$18=1</formula>
    </cfRule>
  </conditionalFormatting>
  <dataValidations count="2">
    <dataValidation type="list" allowBlank="1" showInputMessage="1" showErrorMessage="1" sqref="V15:W15 Y15:Z15">
      <formula1>$AG$38:$AG$68</formula1>
    </dataValidation>
    <dataValidation type="list" allowBlank="1" showInputMessage="1" showErrorMessage="1" sqref="V18:W18">
      <formula1>$AF$41:$AF$55</formula1>
    </dataValidation>
  </dataValidations>
  <printOptions horizontalCentered="1" verticalCentered="1"/>
  <pageMargins left="0.70866141732283472" right="0.70866141732283472" top="0.55118110236220474" bottom="0.55118110236220474" header="0.31496062992125984" footer="0.31496062992125984"/>
  <pageSetup paperSize="9" orientation="landscape" horizontalDpi="0" verticalDpi="0"/>
  <headerFooter scaleWithDoc="0" alignWithMargins="0">
    <oddHeader>&amp;L         &amp;D</oddHeader>
    <oddFooter>&amp;CSalt of Life Technology GmbH - Hauptstrasse 30 - 09573 Leubsdorf
Telefon: +49-(0) 37291 1399 41 - Fax: +49-(0) 37291 1399 42</oddFooter>
  </headerFooter>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B2:E31"/>
  <sheetViews>
    <sheetView workbookViewId="0">
      <selection activeCell="E9" sqref="E9"/>
    </sheetView>
  </sheetViews>
  <sheetFormatPr baseColWidth="10" defaultRowHeight="14" x14ac:dyDescent="0"/>
  <sheetData>
    <row r="2" spans="2:5" ht="15" thickBot="1"/>
    <row r="3" spans="2:5" ht="53" thickBot="1">
      <c r="B3" s="2">
        <f>DELTA(5, 4)</f>
        <v>0</v>
      </c>
      <c r="C3" s="2" t="s">
        <v>41</v>
      </c>
    </row>
    <row r="4" spans="2:5" ht="53" thickBot="1">
      <c r="B4" s="3">
        <f>DELTA(5, 5)</f>
        <v>1</v>
      </c>
      <c r="C4" s="3" t="s">
        <v>42</v>
      </c>
    </row>
    <row r="5" spans="2:5" ht="53" thickBot="1">
      <c r="B5" s="2">
        <f>DELTA(0.5, 0)</f>
        <v>0</v>
      </c>
      <c r="C5" s="2" t="s">
        <v>43</v>
      </c>
    </row>
    <row r="7" spans="2:5">
      <c r="E7">
        <v>5</v>
      </c>
    </row>
    <row r="8" spans="2:5">
      <c r="E8">
        <v>6</v>
      </c>
    </row>
    <row r="9" spans="2:5">
      <c r="E9">
        <f>DELTA(E7,E8)</f>
        <v>0</v>
      </c>
    </row>
    <row r="30" spans="3:3">
      <c r="C30" s="1"/>
    </row>
    <row r="31" spans="3:3">
      <c r="C31" s="1"/>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
  <sheetViews>
    <sheetView workbookViewId="0"/>
  </sheetViews>
  <sheetFormatPr baseColWidth="10" defaultRowHeight="14" x14ac:dyDescent="0"/>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Salt of Life Technology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Hoppe</dc:creator>
  <cp:lastModifiedBy>Tobias Hoppe</cp:lastModifiedBy>
  <cp:lastPrinted>2011-10-06T15:34:31Z</cp:lastPrinted>
  <dcterms:created xsi:type="dcterms:W3CDTF">2011-09-09T14:42:45Z</dcterms:created>
  <dcterms:modified xsi:type="dcterms:W3CDTF">2014-01-28T09:22:40Z</dcterms:modified>
</cp:coreProperties>
</file>